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/>
  <mc:AlternateContent xmlns:mc="http://schemas.openxmlformats.org/markup-compatibility/2006">
    <mc:Choice Requires="x15">
      <x15ac:absPath xmlns:x15ac="http://schemas.microsoft.com/office/spreadsheetml/2010/11/ac" url="C:\Users\shedg\OneDrive\Documents\ME314\Gear Train\"/>
    </mc:Choice>
  </mc:AlternateContent>
  <xr:revisionPtr revIDLastSave="0" documentId="8_{92AA9F1D-2059-4B26-B969-2A28C48A7298}" xr6:coauthVersionLast="47" xr6:coauthVersionMax="47" xr10:uidLastSave="{00000000-0000-0000-0000-000000000000}"/>
  <bookViews>
    <workbookView xWindow="2880" yWindow="1215" windowWidth="20790" windowHeight="15780" xr2:uid="{00000000-000D-0000-FFFF-FFFF00000000}"/>
  </bookViews>
  <sheets>
    <sheet name="Basic Info" sheetId="1" r:id="rId1"/>
    <sheet name="Sheet13" sheetId="2" r:id="rId2"/>
    <sheet name="Accessory Info" sheetId="3" r:id="rId3"/>
    <sheet name="Tables" sheetId="4" r:id="rId4"/>
    <sheet name="AGMA BendPit" sheetId="5" r:id="rId5"/>
    <sheet name="Tooth Bend &amp; Compression" sheetId="6" r:id="rId6"/>
    <sheet name="Shafts" sheetId="7" r:id="rId7"/>
    <sheet name="Stress concentrations shaft" sheetId="8" r:id="rId8"/>
    <sheet name="Team Reporting" sheetId="9" r:id="rId9"/>
    <sheet name="for track" sheetId="10" r:id="rId10"/>
  </sheets>
  <calcPr calcId="181029"/>
</workbook>
</file>

<file path=xl/calcChain.xml><?xml version="1.0" encoding="utf-8"?>
<calcChain xmlns="http://schemas.openxmlformats.org/spreadsheetml/2006/main">
  <c r="J5" i="10" l="1"/>
  <c r="I5" i="10"/>
  <c r="H5" i="10"/>
  <c r="G5" i="10"/>
  <c r="F5" i="10"/>
  <c r="E5" i="10"/>
  <c r="D5" i="10"/>
  <c r="C5" i="10"/>
  <c r="B5" i="10"/>
  <c r="A5" i="10"/>
  <c r="E112" i="8"/>
  <c r="F107" i="8"/>
  <c r="E107" i="8"/>
  <c r="C107" i="8"/>
  <c r="F106" i="8"/>
  <c r="E106" i="8"/>
  <c r="C106" i="8"/>
  <c r="I102" i="8"/>
  <c r="I108" i="8" s="1"/>
  <c r="I64" i="8" s="1"/>
  <c r="I99" i="8"/>
  <c r="E99" i="8"/>
  <c r="E101" i="8" s="1"/>
  <c r="D99" i="8"/>
  <c r="D103" i="8" s="1"/>
  <c r="I98" i="8"/>
  <c r="F98" i="8"/>
  <c r="F99" i="8" s="1"/>
  <c r="E98" i="8"/>
  <c r="C98" i="8"/>
  <c r="C99" i="8" s="1"/>
  <c r="M97" i="8"/>
  <c r="I97" i="8"/>
  <c r="I101" i="8" s="1"/>
  <c r="M96" i="8"/>
  <c r="K61" i="8" s="1"/>
  <c r="M95" i="8"/>
  <c r="I95" i="8"/>
  <c r="I96" i="8" s="1"/>
  <c r="I100" i="8" s="1"/>
  <c r="E94" i="8"/>
  <c r="C94" i="8"/>
  <c r="M93" i="8"/>
  <c r="C64" i="8"/>
  <c r="C63" i="8"/>
  <c r="C62" i="8"/>
  <c r="C61" i="8"/>
  <c r="O57" i="8"/>
  <c r="N57" i="8"/>
  <c r="M57" i="8"/>
  <c r="L57" i="8"/>
  <c r="K57" i="8"/>
  <c r="J57" i="8"/>
  <c r="I57" i="8"/>
  <c r="H57" i="8"/>
  <c r="G57" i="8"/>
  <c r="F57" i="8"/>
  <c r="E57" i="8"/>
  <c r="D57" i="8"/>
  <c r="C57" i="8"/>
  <c r="O55" i="8"/>
  <c r="N55" i="8"/>
  <c r="M55" i="8"/>
  <c r="L55" i="8"/>
  <c r="K55" i="8"/>
  <c r="J55" i="8"/>
  <c r="I55" i="8"/>
  <c r="H55" i="8"/>
  <c r="G55" i="8"/>
  <c r="F55" i="8"/>
  <c r="E55" i="8"/>
  <c r="D55" i="8"/>
  <c r="C55" i="8"/>
  <c r="O52" i="8"/>
  <c r="N52" i="8"/>
  <c r="M52" i="8"/>
  <c r="L52" i="8"/>
  <c r="K52" i="8"/>
  <c r="J52" i="8"/>
  <c r="I52" i="8"/>
  <c r="H52" i="8"/>
  <c r="G52" i="8"/>
  <c r="F52" i="8"/>
  <c r="E52" i="8"/>
  <c r="D52" i="8"/>
  <c r="C52" i="8"/>
  <c r="O51" i="8"/>
  <c r="O59" i="8" s="1"/>
  <c r="N51" i="8"/>
  <c r="N59" i="8" s="1"/>
  <c r="M51" i="8"/>
  <c r="M59" i="8" s="1"/>
  <c r="L51" i="8"/>
  <c r="L59" i="8" s="1"/>
  <c r="K51" i="8"/>
  <c r="K59" i="8" s="1"/>
  <c r="J51" i="8"/>
  <c r="J59" i="8" s="1"/>
  <c r="I51" i="8"/>
  <c r="I59" i="8" s="1"/>
  <c r="H51" i="8"/>
  <c r="H59" i="8" s="1"/>
  <c r="G51" i="8"/>
  <c r="G59" i="8" s="1"/>
  <c r="F51" i="8"/>
  <c r="F59" i="8" s="1"/>
  <c r="E51" i="8"/>
  <c r="E59" i="8" s="1"/>
  <c r="D51" i="8"/>
  <c r="D59" i="8" s="1"/>
  <c r="C51" i="8"/>
  <c r="C59" i="8" s="1"/>
  <c r="O48" i="8"/>
  <c r="N48" i="8"/>
  <c r="M48" i="8"/>
  <c r="L48" i="8"/>
  <c r="K48" i="8"/>
  <c r="J48" i="8"/>
  <c r="I48" i="8"/>
  <c r="H48" i="8"/>
  <c r="G48" i="8"/>
  <c r="F48" i="8"/>
  <c r="E48" i="8"/>
  <c r="D48" i="8"/>
  <c r="C48" i="8"/>
  <c r="H46" i="8"/>
  <c r="G46" i="8"/>
  <c r="G72" i="8" s="1"/>
  <c r="F46" i="8"/>
  <c r="F72" i="8" s="1"/>
  <c r="E46" i="8"/>
  <c r="D46" i="8"/>
  <c r="D72" i="8" s="1"/>
  <c r="C46" i="8"/>
  <c r="G45" i="8"/>
  <c r="F45" i="8"/>
  <c r="N44" i="8"/>
  <c r="M44" i="8"/>
  <c r="G44" i="8"/>
  <c r="O43" i="8"/>
  <c r="O45" i="8" s="1"/>
  <c r="N43" i="8"/>
  <c r="N45" i="8" s="1"/>
  <c r="J43" i="8"/>
  <c r="J45" i="8" s="1"/>
  <c r="I43" i="8"/>
  <c r="I45" i="8" s="1"/>
  <c r="G43" i="8"/>
  <c r="F43" i="8"/>
  <c r="C43" i="8"/>
  <c r="C45" i="8" s="1"/>
  <c r="O42" i="8"/>
  <c r="O44" i="8" s="1"/>
  <c r="N42" i="8"/>
  <c r="M42" i="8"/>
  <c r="L42" i="8"/>
  <c r="L44" i="8" s="1"/>
  <c r="K42" i="8"/>
  <c r="K44" i="8" s="1"/>
  <c r="J42" i="8"/>
  <c r="J44" i="8" s="1"/>
  <c r="I42" i="8"/>
  <c r="I44" i="8" s="1"/>
  <c r="H42" i="8"/>
  <c r="H44" i="8" s="1"/>
  <c r="G42" i="8"/>
  <c r="F42" i="8"/>
  <c r="F44" i="8" s="1"/>
  <c r="E42" i="8"/>
  <c r="E44" i="8" s="1"/>
  <c r="D42" i="8"/>
  <c r="D44" i="8" s="1"/>
  <c r="C42" i="8"/>
  <c r="C44" i="8" s="1"/>
  <c r="O41" i="8"/>
  <c r="O46" i="8" s="1"/>
  <c r="N41" i="8"/>
  <c r="N46" i="8" s="1"/>
  <c r="M41" i="8"/>
  <c r="M46" i="8" s="1"/>
  <c r="L41" i="8"/>
  <c r="L46" i="8" s="1"/>
  <c r="K41" i="8"/>
  <c r="K46" i="8" s="1"/>
  <c r="J41" i="8"/>
  <c r="J46" i="8" s="1"/>
  <c r="I41" i="8"/>
  <c r="I46" i="8" s="1"/>
  <c r="H41" i="8"/>
  <c r="H43" i="8" s="1"/>
  <c r="H45" i="8" s="1"/>
  <c r="G41" i="8"/>
  <c r="F41" i="8"/>
  <c r="E41" i="8"/>
  <c r="E43" i="8" s="1"/>
  <c r="E45" i="8" s="1"/>
  <c r="D41" i="8"/>
  <c r="D43" i="8" s="1"/>
  <c r="D45" i="8" s="1"/>
  <c r="C41" i="8"/>
  <c r="F38" i="8"/>
  <c r="O37" i="8"/>
  <c r="G36" i="8"/>
  <c r="G38" i="8" s="1"/>
  <c r="F36" i="8"/>
  <c r="O35" i="8"/>
  <c r="N35" i="8"/>
  <c r="N37" i="8" s="1"/>
  <c r="O34" i="8"/>
  <c r="O28" i="8" s="1"/>
  <c r="N34" i="8"/>
  <c r="N28" i="8" s="1"/>
  <c r="M34" i="8"/>
  <c r="M28" i="8" s="1"/>
  <c r="L34" i="8"/>
  <c r="L28" i="8" s="1"/>
  <c r="K34" i="8"/>
  <c r="K28" i="8" s="1"/>
  <c r="J34" i="8"/>
  <c r="J28" i="8" s="1"/>
  <c r="I34" i="8"/>
  <c r="I28" i="8" s="1"/>
  <c r="H34" i="8"/>
  <c r="H28" i="8" s="1"/>
  <c r="G34" i="8"/>
  <c r="G28" i="8" s="1"/>
  <c r="F34" i="8"/>
  <c r="E34" i="8"/>
  <c r="E28" i="8" s="1"/>
  <c r="D34" i="8"/>
  <c r="D36" i="8" s="1"/>
  <c r="D38" i="8" s="1"/>
  <c r="C34" i="8"/>
  <c r="C28" i="8" s="1"/>
  <c r="O33" i="8"/>
  <c r="N33" i="8"/>
  <c r="M33" i="8"/>
  <c r="M35" i="8" s="1"/>
  <c r="M37" i="8" s="1"/>
  <c r="L33" i="8"/>
  <c r="K33" i="8"/>
  <c r="J33" i="8"/>
  <c r="J35" i="8" s="1"/>
  <c r="J37" i="8" s="1"/>
  <c r="I33" i="8"/>
  <c r="I35" i="8" s="1"/>
  <c r="I37" i="8" s="1"/>
  <c r="H33" i="8"/>
  <c r="G33" i="8"/>
  <c r="F33" i="8"/>
  <c r="F35" i="8" s="1"/>
  <c r="F37" i="8" s="1"/>
  <c r="E33" i="8"/>
  <c r="E35" i="8" s="1"/>
  <c r="E37" i="8" s="1"/>
  <c r="D33" i="8"/>
  <c r="D35" i="8" s="1"/>
  <c r="D37" i="8" s="1"/>
  <c r="C33" i="8"/>
  <c r="C35" i="8" s="1"/>
  <c r="C37" i="8" s="1"/>
  <c r="O32" i="8"/>
  <c r="N32" i="8"/>
  <c r="M32" i="8"/>
  <c r="L32" i="8"/>
  <c r="L35" i="8" s="1"/>
  <c r="L37" i="8" s="1"/>
  <c r="K32" i="8"/>
  <c r="K35" i="8" s="1"/>
  <c r="K37" i="8" s="1"/>
  <c r="J32" i="8"/>
  <c r="I32" i="8"/>
  <c r="H32" i="8"/>
  <c r="H35" i="8" s="1"/>
  <c r="G32" i="8"/>
  <c r="G35" i="8" s="1"/>
  <c r="G37" i="8" s="1"/>
  <c r="F32" i="8"/>
  <c r="E32" i="8"/>
  <c r="D32" i="8"/>
  <c r="C32" i="8"/>
  <c r="J22" i="8"/>
  <c r="C15" i="8"/>
  <c r="O14" i="8"/>
  <c r="O15" i="8" s="1"/>
  <c r="N14" i="8"/>
  <c r="N15" i="8" s="1"/>
  <c r="K14" i="8"/>
  <c r="K15" i="8" s="1"/>
  <c r="J14" i="8"/>
  <c r="J15" i="8" s="1"/>
  <c r="G14" i="8"/>
  <c r="D14" i="8"/>
  <c r="D16" i="8" s="1"/>
  <c r="C14" i="8"/>
  <c r="C16" i="8" s="1"/>
  <c r="K13" i="8"/>
  <c r="K22" i="8" s="1"/>
  <c r="J13" i="8"/>
  <c r="E13" i="8"/>
  <c r="E22" i="8" s="1"/>
  <c r="D13" i="8"/>
  <c r="D28" i="8" s="1"/>
  <c r="C13" i="8"/>
  <c r="C22" i="8" s="1"/>
  <c r="O12" i="8"/>
  <c r="N12" i="8"/>
  <c r="L12" i="8"/>
  <c r="L14" i="8" s="1"/>
  <c r="K12" i="8"/>
  <c r="J12" i="8"/>
  <c r="I12" i="8"/>
  <c r="I14" i="8" s="1"/>
  <c r="G12" i="8"/>
  <c r="F12" i="8"/>
  <c r="F14" i="8" s="1"/>
  <c r="E12" i="8"/>
  <c r="E14" i="8" s="1"/>
  <c r="D12" i="8"/>
  <c r="C12" i="8"/>
  <c r="O11" i="8"/>
  <c r="O13" i="8" s="1"/>
  <c r="O22" i="8" s="1"/>
  <c r="N11" i="8"/>
  <c r="N13" i="8" s="1"/>
  <c r="M11" i="8"/>
  <c r="M13" i="8" s="1"/>
  <c r="M22" i="8" s="1"/>
  <c r="L11" i="8"/>
  <c r="L13" i="8" s="1"/>
  <c r="L22" i="8" s="1"/>
  <c r="K11" i="8"/>
  <c r="J11" i="8"/>
  <c r="I11" i="8"/>
  <c r="I13" i="8" s="1"/>
  <c r="I22" i="8" s="1"/>
  <c r="H11" i="8"/>
  <c r="H13" i="8" s="1"/>
  <c r="H22" i="8" s="1"/>
  <c r="G11" i="8"/>
  <c r="G13" i="8" s="1"/>
  <c r="F11" i="8"/>
  <c r="F13" i="8" s="1"/>
  <c r="E11" i="8"/>
  <c r="D11" i="8"/>
  <c r="C11" i="8"/>
  <c r="M10" i="8"/>
  <c r="M12" i="8" s="1"/>
  <c r="M14" i="8" s="1"/>
  <c r="H10" i="8"/>
  <c r="H12" i="8" s="1"/>
  <c r="H14" i="8" s="1"/>
  <c r="L69" i="6"/>
  <c r="K69" i="6"/>
  <c r="J69" i="6"/>
  <c r="I69" i="6"/>
  <c r="H69" i="6"/>
  <c r="G69" i="6"/>
  <c r="F69" i="6"/>
  <c r="E69" i="6"/>
  <c r="D69" i="6"/>
  <c r="C69" i="6"/>
  <c r="L68" i="6"/>
  <c r="K68" i="6"/>
  <c r="J68" i="6"/>
  <c r="I68" i="6"/>
  <c r="H68" i="6"/>
  <c r="G68" i="6"/>
  <c r="F68" i="6"/>
  <c r="E68" i="6"/>
  <c r="D68" i="6"/>
  <c r="C68" i="6"/>
  <c r="L67" i="6"/>
  <c r="K67" i="6"/>
  <c r="J67" i="6"/>
  <c r="I67" i="6"/>
  <c r="H67" i="6"/>
  <c r="G67" i="6"/>
  <c r="F67" i="6"/>
  <c r="E67" i="6"/>
  <c r="D67" i="6"/>
  <c r="C67" i="6"/>
  <c r="L64" i="6"/>
  <c r="K64" i="6"/>
  <c r="J64" i="6"/>
  <c r="I64" i="6"/>
  <c r="H64" i="6"/>
  <c r="G64" i="6"/>
  <c r="F64" i="6"/>
  <c r="E64" i="6"/>
  <c r="D64" i="6"/>
  <c r="L62" i="6"/>
  <c r="K62" i="6"/>
  <c r="J62" i="6"/>
  <c r="I62" i="6"/>
  <c r="H62" i="6"/>
  <c r="G62" i="6"/>
  <c r="F62" i="6"/>
  <c r="E62" i="6"/>
  <c r="D62" i="6"/>
  <c r="K61" i="6"/>
  <c r="G61" i="6"/>
  <c r="J60" i="6"/>
  <c r="I60" i="6"/>
  <c r="H60" i="6"/>
  <c r="G60" i="6"/>
  <c r="F60" i="6"/>
  <c r="E60" i="6"/>
  <c r="D60" i="6"/>
  <c r="L59" i="6"/>
  <c r="K59" i="6"/>
  <c r="J59" i="6"/>
  <c r="I59" i="6"/>
  <c r="H59" i="6"/>
  <c r="G59" i="6"/>
  <c r="L58" i="6"/>
  <c r="L61" i="6" s="1"/>
  <c r="K58" i="6"/>
  <c r="J58" i="6"/>
  <c r="J61" i="6" s="1"/>
  <c r="I58" i="6"/>
  <c r="I61" i="6" s="1"/>
  <c r="H58" i="6"/>
  <c r="H61" i="6" s="1"/>
  <c r="G58" i="6"/>
  <c r="F58" i="6"/>
  <c r="F61" i="6" s="1"/>
  <c r="E58" i="6"/>
  <c r="E59" i="6" s="1"/>
  <c r="D58" i="6"/>
  <c r="D59" i="6" s="1"/>
  <c r="D57" i="6"/>
  <c r="D56" i="6"/>
  <c r="L51" i="6"/>
  <c r="K51" i="6"/>
  <c r="I51" i="6"/>
  <c r="G51" i="6"/>
  <c r="D51" i="6"/>
  <c r="L50" i="6"/>
  <c r="K50" i="6"/>
  <c r="J50" i="6"/>
  <c r="I50" i="6"/>
  <c r="H50" i="6"/>
  <c r="G50" i="6"/>
  <c r="F50" i="6"/>
  <c r="E50" i="6"/>
  <c r="D50" i="6"/>
  <c r="G49" i="6"/>
  <c r="G53" i="6" s="1"/>
  <c r="I42" i="6"/>
  <c r="H42" i="6"/>
  <c r="G42" i="6"/>
  <c r="F42" i="6"/>
  <c r="E42" i="6"/>
  <c r="D42" i="6"/>
  <c r="L40" i="6"/>
  <c r="L42" i="6" s="1"/>
  <c r="K40" i="6"/>
  <c r="K42" i="6" s="1"/>
  <c r="J40" i="6"/>
  <c r="J42" i="6" s="1"/>
  <c r="I40" i="6"/>
  <c r="H40" i="6"/>
  <c r="G40" i="6"/>
  <c r="F40" i="6"/>
  <c r="E40" i="6"/>
  <c r="D40" i="6"/>
  <c r="F39" i="6"/>
  <c r="F43" i="6" s="1"/>
  <c r="L38" i="6"/>
  <c r="K38" i="6"/>
  <c r="J38" i="6"/>
  <c r="I38" i="6"/>
  <c r="H38" i="6"/>
  <c r="G38" i="6"/>
  <c r="L36" i="6"/>
  <c r="K36" i="6"/>
  <c r="J36" i="6"/>
  <c r="I36" i="6"/>
  <c r="H36" i="6"/>
  <c r="G36" i="6"/>
  <c r="F36" i="6"/>
  <c r="E36" i="6"/>
  <c r="D36" i="6"/>
  <c r="J35" i="6"/>
  <c r="L34" i="6"/>
  <c r="K34" i="6"/>
  <c r="J34" i="6"/>
  <c r="I34" i="6"/>
  <c r="H34" i="6"/>
  <c r="G34" i="6"/>
  <c r="F34" i="6"/>
  <c r="F38" i="6" s="1"/>
  <c r="E34" i="6"/>
  <c r="E38" i="6" s="1"/>
  <c r="D34" i="6"/>
  <c r="D38" i="6" s="1"/>
  <c r="L33" i="6"/>
  <c r="L37" i="6" s="1"/>
  <c r="K33" i="6"/>
  <c r="K37" i="6" s="1"/>
  <c r="J33" i="6"/>
  <c r="J37" i="6" s="1"/>
  <c r="I33" i="6"/>
  <c r="I37" i="6" s="1"/>
  <c r="H33" i="6"/>
  <c r="H35" i="6" s="1"/>
  <c r="G33" i="6"/>
  <c r="G35" i="6" s="1"/>
  <c r="F33" i="6"/>
  <c r="F35" i="6" s="1"/>
  <c r="E33" i="6"/>
  <c r="E35" i="6" s="1"/>
  <c r="D33" i="6"/>
  <c r="D49" i="6" s="1"/>
  <c r="D53" i="6" s="1"/>
  <c r="H32" i="6"/>
  <c r="G32" i="6"/>
  <c r="G47" i="6" s="1"/>
  <c r="L31" i="6"/>
  <c r="L46" i="6" s="1"/>
  <c r="K31" i="6"/>
  <c r="K46" i="6" s="1"/>
  <c r="G31" i="6"/>
  <c r="G46" i="6" s="1"/>
  <c r="F31" i="6"/>
  <c r="D31" i="6"/>
  <c r="D46" i="6" s="1"/>
  <c r="L30" i="6"/>
  <c r="K30" i="6"/>
  <c r="J30" i="6"/>
  <c r="I30" i="6"/>
  <c r="H30" i="6"/>
  <c r="G30" i="6"/>
  <c r="F30" i="6"/>
  <c r="E30" i="6"/>
  <c r="D30" i="6"/>
  <c r="L29" i="6"/>
  <c r="K29" i="6"/>
  <c r="J29" i="6"/>
  <c r="I29" i="6"/>
  <c r="H29" i="6"/>
  <c r="G29" i="6"/>
  <c r="F29" i="6"/>
  <c r="E29" i="6"/>
  <c r="D29" i="6"/>
  <c r="L12" i="6"/>
  <c r="D12" i="6"/>
  <c r="C12" i="6"/>
  <c r="D55" i="6" s="1"/>
  <c r="L11" i="6"/>
  <c r="K11" i="6"/>
  <c r="J11" i="6"/>
  <c r="I11" i="6"/>
  <c r="H11" i="6"/>
  <c r="G11" i="6"/>
  <c r="H56" i="6" s="1"/>
  <c r="F11" i="6"/>
  <c r="G56" i="6" s="1"/>
  <c r="E11" i="6"/>
  <c r="F56" i="6" s="1"/>
  <c r="D11" i="6"/>
  <c r="E56" i="6" s="1"/>
  <c r="E7" i="6"/>
  <c r="E39" i="6" s="1"/>
  <c r="J6" i="6"/>
  <c r="J51" i="6" s="1"/>
  <c r="H6" i="6"/>
  <c r="H51" i="6" s="1"/>
  <c r="F6" i="6"/>
  <c r="F51" i="6" s="1"/>
  <c r="E6" i="6"/>
  <c r="E49" i="6" s="1"/>
  <c r="C47" i="5"/>
  <c r="C45" i="5"/>
  <c r="C43" i="5"/>
  <c r="C42" i="5"/>
  <c r="C41" i="5"/>
  <c r="C44" i="5" s="1"/>
  <c r="C40" i="5"/>
  <c r="C39" i="5"/>
  <c r="C34" i="5"/>
  <c r="C33" i="5"/>
  <c r="C25" i="5"/>
  <c r="C27" i="5" s="1"/>
  <c r="C12" i="5"/>
  <c r="C38" i="5" s="1"/>
  <c r="C10" i="5"/>
  <c r="C9" i="5"/>
  <c r="C30" i="5" s="1"/>
  <c r="C36" i="5" s="1"/>
  <c r="N293" i="4"/>
  <c r="N294" i="4" s="1"/>
  <c r="N295" i="4" s="1"/>
  <c r="N296" i="4" s="1"/>
  <c r="N297" i="4" s="1"/>
  <c r="N298" i="4" s="1"/>
  <c r="N299" i="4" s="1"/>
  <c r="N300" i="4" s="1"/>
  <c r="N301" i="4" s="1"/>
  <c r="N302" i="4" s="1"/>
  <c r="N303" i="4" s="1"/>
  <c r="N304" i="4" s="1"/>
  <c r="N305" i="4" s="1"/>
  <c r="N306" i="4" s="1"/>
  <c r="N307" i="4" s="1"/>
  <c r="N308" i="4" s="1"/>
  <c r="N309" i="4" s="1"/>
  <c r="N310" i="4" s="1"/>
  <c r="N311" i="4" s="1"/>
  <c r="N312" i="4" s="1"/>
  <c r="N313" i="4" s="1"/>
  <c r="N314" i="4" s="1"/>
  <c r="N315" i="4" s="1"/>
  <c r="N316" i="4" s="1"/>
  <c r="N317" i="4" s="1"/>
  <c r="N318" i="4" s="1"/>
  <c r="N319" i="4" s="1"/>
  <c r="N320" i="4" s="1"/>
  <c r="N321" i="4" s="1"/>
  <c r="N322" i="4" s="1"/>
  <c r="N323" i="4" s="1"/>
  <c r="N324" i="4" s="1"/>
  <c r="N325" i="4" s="1"/>
  <c r="N326" i="4" s="1"/>
  <c r="N327" i="4" s="1"/>
  <c r="N328" i="4" s="1"/>
  <c r="N329" i="4" s="1"/>
  <c r="N330" i="4" s="1"/>
  <c r="N331" i="4" s="1"/>
  <c r="N332" i="4" s="1"/>
  <c r="N333" i="4" s="1"/>
  <c r="N334" i="4" s="1"/>
  <c r="N335" i="4" s="1"/>
  <c r="N336" i="4" s="1"/>
  <c r="N337" i="4" s="1"/>
  <c r="N338" i="4" s="1"/>
  <c r="N339" i="4" s="1"/>
  <c r="N340" i="4" s="1"/>
  <c r="N341" i="4" s="1"/>
  <c r="N342" i="4" s="1"/>
  <c r="N343" i="4" s="1"/>
  <c r="N344" i="4" s="1"/>
  <c r="N345" i="4" s="1"/>
  <c r="N346" i="4" s="1"/>
  <c r="N347" i="4" s="1"/>
  <c r="N348" i="4" s="1"/>
  <c r="N349" i="4" s="1"/>
  <c r="N350" i="4" s="1"/>
  <c r="N351" i="4" s="1"/>
  <c r="N352" i="4" s="1"/>
  <c r="N353" i="4" s="1"/>
  <c r="N354" i="4" s="1"/>
  <c r="N355" i="4" s="1"/>
  <c r="N356" i="4" s="1"/>
  <c r="N357" i="4" s="1"/>
  <c r="N358" i="4" s="1"/>
  <c r="N359" i="4" s="1"/>
  <c r="N360" i="4" s="1"/>
  <c r="N361" i="4" s="1"/>
  <c r="N362" i="4" s="1"/>
  <c r="N363" i="4" s="1"/>
  <c r="N364" i="4" s="1"/>
  <c r="N365" i="4" s="1"/>
  <c r="N366" i="4" s="1"/>
  <c r="N367" i="4" s="1"/>
  <c r="N368" i="4" s="1"/>
  <c r="N369" i="4" s="1"/>
  <c r="N370" i="4" s="1"/>
  <c r="N371" i="4" s="1"/>
  <c r="N372" i="4" s="1"/>
  <c r="N373" i="4" s="1"/>
  <c r="N374" i="4" s="1"/>
  <c r="N375" i="4" s="1"/>
  <c r="N376" i="4" s="1"/>
  <c r="N377" i="4" s="1"/>
  <c r="N378" i="4" s="1"/>
  <c r="N379" i="4" s="1"/>
  <c r="N380" i="4" s="1"/>
  <c r="N381" i="4" s="1"/>
  <c r="N382" i="4" s="1"/>
  <c r="N383" i="4" s="1"/>
  <c r="N384" i="4" s="1"/>
  <c r="N385" i="4" s="1"/>
  <c r="N386" i="4" s="1"/>
  <c r="N387" i="4" s="1"/>
  <c r="N388" i="4" s="1"/>
  <c r="N389" i="4" s="1"/>
  <c r="N390" i="4" s="1"/>
  <c r="N391" i="4" s="1"/>
  <c r="N144" i="4"/>
  <c r="N145" i="4" s="1"/>
  <c r="N146" i="4" s="1"/>
  <c r="N147" i="4" s="1"/>
  <c r="N148" i="4" s="1"/>
  <c r="N149" i="4" s="1"/>
  <c r="N150" i="4" s="1"/>
  <c r="N151" i="4" s="1"/>
  <c r="N152" i="4" s="1"/>
  <c r="N153" i="4" s="1"/>
  <c r="N154" i="4" s="1"/>
  <c r="N155" i="4" s="1"/>
  <c r="N156" i="4" s="1"/>
  <c r="N157" i="4" s="1"/>
  <c r="N158" i="4" s="1"/>
  <c r="N159" i="4" s="1"/>
  <c r="N160" i="4" s="1"/>
  <c r="N161" i="4" s="1"/>
  <c r="N162" i="4" s="1"/>
  <c r="N163" i="4" s="1"/>
  <c r="N164" i="4" s="1"/>
  <c r="N165" i="4" s="1"/>
  <c r="N166" i="4" s="1"/>
  <c r="N167" i="4" s="1"/>
  <c r="N168" i="4" s="1"/>
  <c r="N169" i="4" s="1"/>
  <c r="N170" i="4" s="1"/>
  <c r="N171" i="4" s="1"/>
  <c r="N172" i="4" s="1"/>
  <c r="N173" i="4" s="1"/>
  <c r="N174" i="4" s="1"/>
  <c r="N175" i="4" s="1"/>
  <c r="N176" i="4" s="1"/>
  <c r="N177" i="4" s="1"/>
  <c r="N178" i="4" s="1"/>
  <c r="N179" i="4" s="1"/>
  <c r="N180" i="4" s="1"/>
  <c r="N181" i="4" s="1"/>
  <c r="N182" i="4" s="1"/>
  <c r="N183" i="4" s="1"/>
  <c r="N184" i="4" s="1"/>
  <c r="N185" i="4" s="1"/>
  <c r="N186" i="4" s="1"/>
  <c r="N187" i="4" s="1"/>
  <c r="N188" i="4" s="1"/>
  <c r="N189" i="4" s="1"/>
  <c r="N190" i="4" s="1"/>
  <c r="N191" i="4" s="1"/>
  <c r="N192" i="4" s="1"/>
  <c r="N193" i="4" s="1"/>
  <c r="N194" i="4" s="1"/>
  <c r="N195" i="4" s="1"/>
  <c r="N196" i="4" s="1"/>
  <c r="N197" i="4" s="1"/>
  <c r="N198" i="4" s="1"/>
  <c r="N199" i="4" s="1"/>
  <c r="N200" i="4" s="1"/>
  <c r="N201" i="4" s="1"/>
  <c r="N202" i="4" s="1"/>
  <c r="N203" i="4" s="1"/>
  <c r="N204" i="4" s="1"/>
  <c r="N205" i="4" s="1"/>
  <c r="N206" i="4" s="1"/>
  <c r="N207" i="4" s="1"/>
  <c r="N208" i="4" s="1"/>
  <c r="N209" i="4" s="1"/>
  <c r="N210" i="4" s="1"/>
  <c r="N211" i="4" s="1"/>
  <c r="N212" i="4" s="1"/>
  <c r="N213" i="4" s="1"/>
  <c r="N214" i="4" s="1"/>
  <c r="N215" i="4" s="1"/>
  <c r="N216" i="4" s="1"/>
  <c r="N217" i="4" s="1"/>
  <c r="N218" i="4" s="1"/>
  <c r="N219" i="4" s="1"/>
  <c r="N220" i="4" s="1"/>
  <c r="N221" i="4" s="1"/>
  <c r="N222" i="4" s="1"/>
  <c r="N223" i="4" s="1"/>
  <c r="N224" i="4" s="1"/>
  <c r="N225" i="4" s="1"/>
  <c r="N226" i="4" s="1"/>
  <c r="N227" i="4" s="1"/>
  <c r="N228" i="4" s="1"/>
  <c r="N229" i="4" s="1"/>
  <c r="N230" i="4" s="1"/>
  <c r="N231" i="4" s="1"/>
  <c r="N232" i="4" s="1"/>
  <c r="N233" i="4" s="1"/>
  <c r="N234" i="4" s="1"/>
  <c r="N235" i="4" s="1"/>
  <c r="N236" i="4" s="1"/>
  <c r="N237" i="4" s="1"/>
  <c r="N238" i="4" s="1"/>
  <c r="N239" i="4" s="1"/>
  <c r="N240" i="4" s="1"/>
  <c r="N241" i="4" s="1"/>
  <c r="N242" i="4" s="1"/>
  <c r="N243" i="4" s="1"/>
  <c r="N244" i="4" s="1"/>
  <c r="N245" i="4" s="1"/>
  <c r="N246" i="4" s="1"/>
  <c r="N247" i="4" s="1"/>
  <c r="N248" i="4" s="1"/>
  <c r="N249" i="4" s="1"/>
  <c r="N250" i="4" s="1"/>
  <c r="N251" i="4" s="1"/>
  <c r="N252" i="4" s="1"/>
  <c r="N253" i="4" s="1"/>
  <c r="N254" i="4" s="1"/>
  <c r="N255" i="4" s="1"/>
  <c r="N256" i="4" s="1"/>
  <c r="N257" i="4" s="1"/>
  <c r="N258" i="4" s="1"/>
  <c r="N259" i="4" s="1"/>
  <c r="N260" i="4" s="1"/>
  <c r="N261" i="4" s="1"/>
  <c r="N262" i="4" s="1"/>
  <c r="N263" i="4" s="1"/>
  <c r="N264" i="4" s="1"/>
  <c r="N265" i="4" s="1"/>
  <c r="N266" i="4" s="1"/>
  <c r="N267" i="4" s="1"/>
  <c r="N268" i="4" s="1"/>
  <c r="N269" i="4" s="1"/>
  <c r="N270" i="4" s="1"/>
  <c r="N271" i="4" s="1"/>
  <c r="N272" i="4" s="1"/>
  <c r="N273" i="4" s="1"/>
  <c r="N274" i="4" s="1"/>
  <c r="N275" i="4" s="1"/>
  <c r="N276" i="4" s="1"/>
  <c r="N277" i="4" s="1"/>
  <c r="N278" i="4" s="1"/>
  <c r="N279" i="4" s="1"/>
  <c r="N280" i="4" s="1"/>
  <c r="N281" i="4" s="1"/>
  <c r="N282" i="4" s="1"/>
  <c r="N283" i="4" s="1"/>
  <c r="N284" i="4" s="1"/>
  <c r="N285" i="4" s="1"/>
  <c r="N286" i="4" s="1"/>
  <c r="N287" i="4" s="1"/>
  <c r="N288" i="4" s="1"/>
  <c r="N289" i="4" s="1"/>
  <c r="N290" i="4" s="1"/>
  <c r="N291" i="4" s="1"/>
  <c r="N143" i="4"/>
  <c r="N93" i="4"/>
  <c r="N94" i="4" s="1"/>
  <c r="N95" i="4" s="1"/>
  <c r="N96" i="4" s="1"/>
  <c r="N97" i="4" s="1"/>
  <c r="N98" i="4" s="1"/>
  <c r="N99" i="4" s="1"/>
  <c r="N100" i="4" s="1"/>
  <c r="N101" i="4" s="1"/>
  <c r="N102" i="4" s="1"/>
  <c r="N103" i="4" s="1"/>
  <c r="N104" i="4" s="1"/>
  <c r="N105" i="4" s="1"/>
  <c r="N106" i="4" s="1"/>
  <c r="N107" i="4" s="1"/>
  <c r="N108" i="4" s="1"/>
  <c r="N109" i="4" s="1"/>
  <c r="N110" i="4" s="1"/>
  <c r="N111" i="4" s="1"/>
  <c r="N112" i="4" s="1"/>
  <c r="N113" i="4" s="1"/>
  <c r="N114" i="4" s="1"/>
  <c r="N115" i="4" s="1"/>
  <c r="N116" i="4" s="1"/>
  <c r="N117" i="4" s="1"/>
  <c r="N118" i="4" s="1"/>
  <c r="N119" i="4" s="1"/>
  <c r="N120" i="4" s="1"/>
  <c r="N121" i="4" s="1"/>
  <c r="N122" i="4" s="1"/>
  <c r="N123" i="4" s="1"/>
  <c r="N124" i="4" s="1"/>
  <c r="N125" i="4" s="1"/>
  <c r="N126" i="4" s="1"/>
  <c r="N127" i="4" s="1"/>
  <c r="N128" i="4" s="1"/>
  <c r="N129" i="4" s="1"/>
  <c r="N130" i="4" s="1"/>
  <c r="N131" i="4" s="1"/>
  <c r="N132" i="4" s="1"/>
  <c r="N133" i="4" s="1"/>
  <c r="N134" i="4" s="1"/>
  <c r="N135" i="4" s="1"/>
  <c r="N136" i="4" s="1"/>
  <c r="N137" i="4" s="1"/>
  <c r="N138" i="4" s="1"/>
  <c r="N139" i="4" s="1"/>
  <c r="N140" i="4" s="1"/>
  <c r="N141" i="4" s="1"/>
  <c r="N68" i="4"/>
  <c r="N69" i="4" s="1"/>
  <c r="N70" i="4" s="1"/>
  <c r="N71" i="4" s="1"/>
  <c r="N72" i="4" s="1"/>
  <c r="N73" i="4" s="1"/>
  <c r="N74" i="4" s="1"/>
  <c r="N75" i="4" s="1"/>
  <c r="N76" i="4" s="1"/>
  <c r="N77" i="4" s="1"/>
  <c r="N78" i="4" s="1"/>
  <c r="N79" i="4" s="1"/>
  <c r="N80" i="4" s="1"/>
  <c r="N81" i="4" s="1"/>
  <c r="N82" i="4" s="1"/>
  <c r="N83" i="4" s="1"/>
  <c r="N84" i="4" s="1"/>
  <c r="N85" i="4" s="1"/>
  <c r="N86" i="4" s="1"/>
  <c r="N87" i="4" s="1"/>
  <c r="N88" i="4" s="1"/>
  <c r="N89" i="4" s="1"/>
  <c r="N90" i="4" s="1"/>
  <c r="N91" i="4" s="1"/>
  <c r="N53" i="4"/>
  <c r="N54" i="4" s="1"/>
  <c r="N55" i="4" s="1"/>
  <c r="N56" i="4" s="1"/>
  <c r="N57" i="4" s="1"/>
  <c r="N58" i="4" s="1"/>
  <c r="N59" i="4" s="1"/>
  <c r="N60" i="4" s="1"/>
  <c r="N61" i="4" s="1"/>
  <c r="N62" i="4" s="1"/>
  <c r="N63" i="4" s="1"/>
  <c r="N64" i="4" s="1"/>
  <c r="N65" i="4" s="1"/>
  <c r="N66" i="4" s="1"/>
  <c r="N44" i="4"/>
  <c r="N45" i="4" s="1"/>
  <c r="N46" i="4" s="1"/>
  <c r="N47" i="4" s="1"/>
  <c r="N48" i="4" s="1"/>
  <c r="N43" i="4"/>
  <c r="F32" i="6" s="1"/>
  <c r="N36" i="4"/>
  <c r="N37" i="4" s="1"/>
  <c r="N38" i="4" s="1"/>
  <c r="N39" i="4" s="1"/>
  <c r="N40" i="4" s="1"/>
  <c r="N33" i="4"/>
  <c r="N34" i="4" s="1"/>
  <c r="N32" i="4"/>
  <c r="N31" i="4"/>
  <c r="N28" i="4"/>
  <c r="N29" i="4" s="1"/>
  <c r="N27" i="4"/>
  <c r="N24" i="4"/>
  <c r="I32" i="6" s="1"/>
  <c r="I47" i="6" s="1"/>
  <c r="N23" i="4"/>
  <c r="L32" i="6" s="1"/>
  <c r="L47" i="6" s="1"/>
  <c r="N21" i="4"/>
  <c r="N19" i="4"/>
  <c r="K32" i="6" s="1"/>
  <c r="K47" i="6" s="1"/>
  <c r="N17" i="4"/>
  <c r="E7" i="3"/>
  <c r="E6" i="3"/>
  <c r="E5" i="3"/>
  <c r="F4" i="3"/>
  <c r="G2" i="3" s="1"/>
  <c r="E4" i="3"/>
  <c r="E3" i="3"/>
  <c r="F2" i="3"/>
  <c r="E2" i="3"/>
  <c r="F101" i="8" l="1"/>
  <c r="F100" i="8"/>
  <c r="D69" i="8"/>
  <c r="D79" i="8"/>
  <c r="D80" i="8" s="1"/>
  <c r="D70" i="8"/>
  <c r="I72" i="8"/>
  <c r="I73" i="8"/>
  <c r="E110" i="8"/>
  <c r="E111" i="8" s="1"/>
  <c r="I15" i="8"/>
  <c r="I16" i="8"/>
  <c r="J72" i="8"/>
  <c r="J77" i="8" s="1"/>
  <c r="J73" i="8"/>
  <c r="L72" i="8"/>
  <c r="L15" i="8"/>
  <c r="L16" i="8"/>
  <c r="H15" i="8"/>
  <c r="H16" i="8"/>
  <c r="N73" i="8"/>
  <c r="N72" i="8"/>
  <c r="N77" i="8" s="1"/>
  <c r="F16" i="8"/>
  <c r="F15" i="8"/>
  <c r="M15" i="8"/>
  <c r="M16" i="8"/>
  <c r="O73" i="8"/>
  <c r="O72" i="8"/>
  <c r="O77" i="8" s="1"/>
  <c r="C72" i="8"/>
  <c r="F28" i="8"/>
  <c r="F22" i="8"/>
  <c r="E72" i="8"/>
  <c r="G15" i="8"/>
  <c r="G22" i="8"/>
  <c r="E43" i="6"/>
  <c r="E41" i="6"/>
  <c r="D18" i="8"/>
  <c r="D19" i="8"/>
  <c r="D17" i="8"/>
  <c r="H72" i="8"/>
  <c r="E32" i="6"/>
  <c r="N49" i="4"/>
  <c r="N50" i="4" s="1"/>
  <c r="N51" i="4" s="1"/>
  <c r="E16" i="8"/>
  <c r="E15" i="8"/>
  <c r="G16" i="8"/>
  <c r="I104" i="8"/>
  <c r="I105" i="8" s="1"/>
  <c r="D32" i="6"/>
  <c r="D47" i="6" s="1"/>
  <c r="E31" i="6"/>
  <c r="J26" i="8"/>
  <c r="J24" i="8"/>
  <c r="J27" i="8"/>
  <c r="J25" i="8"/>
  <c r="G69" i="8"/>
  <c r="G79" i="8"/>
  <c r="G80" i="8" s="1"/>
  <c r="G70" i="8"/>
  <c r="C18" i="8"/>
  <c r="C19" i="8"/>
  <c r="C17" i="8"/>
  <c r="C20" i="8"/>
  <c r="N26" i="8"/>
  <c r="N24" i="8"/>
  <c r="N27" i="8"/>
  <c r="N25" i="8"/>
  <c r="F69" i="8"/>
  <c r="F76" i="8" s="1"/>
  <c r="I107" i="8"/>
  <c r="I106" i="8"/>
  <c r="N41" i="4"/>
  <c r="J32" i="6" s="1"/>
  <c r="J47" i="6" s="1"/>
  <c r="C26" i="5"/>
  <c r="C28" i="5" s="1"/>
  <c r="N22" i="8"/>
  <c r="N16" i="8"/>
  <c r="C27" i="8"/>
  <c r="C101" i="8"/>
  <c r="C100" i="8"/>
  <c r="I35" i="6"/>
  <c r="F49" i="6"/>
  <c r="F53" i="6" s="1"/>
  <c r="I56" i="6"/>
  <c r="F59" i="6"/>
  <c r="M98" i="8"/>
  <c r="M100" i="8" s="1"/>
  <c r="J56" i="6"/>
  <c r="M104" i="8"/>
  <c r="K35" i="6"/>
  <c r="H49" i="6"/>
  <c r="H53" i="6" s="1"/>
  <c r="K56" i="6"/>
  <c r="L35" i="6"/>
  <c r="F41" i="6"/>
  <c r="I49" i="6"/>
  <c r="I53" i="6" s="1"/>
  <c r="L56" i="6"/>
  <c r="J16" i="8"/>
  <c r="D22" i="8"/>
  <c r="C36" i="8"/>
  <c r="C38" i="8" s="1"/>
  <c r="K43" i="8"/>
  <c r="K45" i="8" s="1"/>
  <c r="K73" i="8" s="1"/>
  <c r="J49" i="6"/>
  <c r="J53" i="6" s="1"/>
  <c r="K16" i="8"/>
  <c r="C24" i="8"/>
  <c r="L43" i="8"/>
  <c r="L45" i="8" s="1"/>
  <c r="L73" i="8" s="1"/>
  <c r="E12" i="6"/>
  <c r="E46" i="6"/>
  <c r="K49" i="6"/>
  <c r="K53" i="6" s="1"/>
  <c r="E57" i="6"/>
  <c r="E36" i="8"/>
  <c r="E38" i="8" s="1"/>
  <c r="M43" i="8"/>
  <c r="M45" i="8" s="1"/>
  <c r="M73" i="8" s="1"/>
  <c r="C73" i="8"/>
  <c r="N25" i="4"/>
  <c r="C11" i="5"/>
  <c r="F12" i="6"/>
  <c r="G55" i="6" s="1"/>
  <c r="F46" i="6"/>
  <c r="L49" i="6"/>
  <c r="L53" i="6" s="1"/>
  <c r="F57" i="6"/>
  <c r="C26" i="8"/>
  <c r="F70" i="8"/>
  <c r="D73" i="8"/>
  <c r="D77" i="8" s="1"/>
  <c r="G12" i="6"/>
  <c r="D39" i="6"/>
  <c r="G57" i="6"/>
  <c r="E73" i="8"/>
  <c r="C13" i="5"/>
  <c r="H12" i="6"/>
  <c r="I55" i="6" s="1"/>
  <c r="H46" i="6"/>
  <c r="H57" i="6"/>
  <c r="D15" i="8"/>
  <c r="O16" i="8"/>
  <c r="O26" i="8" s="1"/>
  <c r="H36" i="8"/>
  <c r="H38" i="8" s="1"/>
  <c r="F73" i="8"/>
  <c r="F77" i="8" s="1"/>
  <c r="D100" i="8"/>
  <c r="D104" i="8" s="1"/>
  <c r="I12" i="6"/>
  <c r="J55" i="6" s="1"/>
  <c r="F21" i="6"/>
  <c r="I57" i="6"/>
  <c r="I36" i="8"/>
  <c r="I38" i="8" s="1"/>
  <c r="G73" i="8"/>
  <c r="G77" i="8" s="1"/>
  <c r="E100" i="8"/>
  <c r="C20" i="5"/>
  <c r="J12" i="6"/>
  <c r="K55" i="6" s="1"/>
  <c r="G39" i="6"/>
  <c r="J46" i="6"/>
  <c r="J57" i="6"/>
  <c r="J36" i="8"/>
  <c r="J38" i="8" s="1"/>
  <c r="H73" i="8"/>
  <c r="K12" i="6"/>
  <c r="L55" i="6" s="1"/>
  <c r="H31" i="6"/>
  <c r="H39" i="6"/>
  <c r="E55" i="6"/>
  <c r="K57" i="6"/>
  <c r="K36" i="8"/>
  <c r="K38" i="8" s="1"/>
  <c r="I31" i="6"/>
  <c r="I46" i="6" s="1"/>
  <c r="I39" i="6"/>
  <c r="F55" i="6"/>
  <c r="L57" i="6"/>
  <c r="L36" i="8"/>
  <c r="L38" i="8" s="1"/>
  <c r="F79" i="8"/>
  <c r="F80" i="8" s="1"/>
  <c r="J31" i="6"/>
  <c r="D37" i="6"/>
  <c r="J39" i="6"/>
  <c r="M36" i="8"/>
  <c r="M38" i="8" s="1"/>
  <c r="E37" i="6"/>
  <c r="K39" i="6"/>
  <c r="E47" i="6"/>
  <c r="H55" i="6"/>
  <c r="K60" i="6"/>
  <c r="N36" i="8"/>
  <c r="N38" i="8" s="1"/>
  <c r="D101" i="8"/>
  <c r="F37" i="6"/>
  <c r="L39" i="6"/>
  <c r="F47" i="6"/>
  <c r="L60" i="6"/>
  <c r="O36" i="8"/>
  <c r="O38" i="8" s="1"/>
  <c r="G37" i="6"/>
  <c r="D61" i="6"/>
  <c r="H37" i="6"/>
  <c r="H47" i="6"/>
  <c r="E51" i="6"/>
  <c r="E53" i="6" s="1"/>
  <c r="E61" i="6"/>
  <c r="C25" i="8"/>
  <c r="D35" i="6"/>
  <c r="D102" i="8"/>
  <c r="L26" i="8" l="1"/>
  <c r="L24" i="8"/>
  <c r="L29" i="8" s="1"/>
  <c r="L30" i="8" s="1"/>
  <c r="L27" i="8"/>
  <c r="L25" i="8"/>
  <c r="G76" i="8"/>
  <c r="J29" i="8"/>
  <c r="J30" i="8" s="1"/>
  <c r="E20" i="6"/>
  <c r="E24" i="6" s="1"/>
  <c r="E19" i="6"/>
  <c r="E23" i="6" s="1"/>
  <c r="E21" i="6"/>
  <c r="C22" i="5"/>
  <c r="C17" i="5"/>
  <c r="H69" i="8"/>
  <c r="H79" i="8"/>
  <c r="H80" i="8" s="1"/>
  <c r="H70" i="8"/>
  <c r="C108" i="8"/>
  <c r="C109" i="8" s="1"/>
  <c r="E25" i="6"/>
  <c r="E26" i="6"/>
  <c r="N29" i="8"/>
  <c r="N30" i="8" s="1"/>
  <c r="E69" i="8"/>
  <c r="E76" i="8" s="1"/>
  <c r="E79" i="8"/>
  <c r="E80" i="8" s="1"/>
  <c r="E70" i="8"/>
  <c r="M19" i="8"/>
  <c r="M17" i="8"/>
  <c r="M20" i="8"/>
  <c r="M18" i="8"/>
  <c r="L77" i="8"/>
  <c r="L41" i="6"/>
  <c r="L43" i="6"/>
  <c r="N79" i="8"/>
  <c r="N80" i="8" s="1"/>
  <c r="N70" i="8"/>
  <c r="N69" i="8"/>
  <c r="C29" i="8"/>
  <c r="C30" i="8" s="1"/>
  <c r="G27" i="8"/>
  <c r="G25" i="8"/>
  <c r="G26" i="8"/>
  <c r="G24" i="8"/>
  <c r="G29" i="8" s="1"/>
  <c r="G30" i="8" s="1"/>
  <c r="M26" i="8"/>
  <c r="M24" i="8"/>
  <c r="M27" i="8"/>
  <c r="M25" i="8"/>
  <c r="L69" i="8"/>
  <c r="L79" i="8"/>
  <c r="L80" i="8" s="1"/>
  <c r="L70" i="8"/>
  <c r="K70" i="8"/>
  <c r="H43" i="6"/>
  <c r="H41" i="6"/>
  <c r="K19" i="8"/>
  <c r="K17" i="8"/>
  <c r="K21" i="8" s="1"/>
  <c r="K23" i="8" s="1"/>
  <c r="K20" i="8"/>
  <c r="K18" i="8"/>
  <c r="E22" i="6"/>
  <c r="F27" i="8"/>
  <c r="F25" i="8"/>
  <c r="F26" i="8"/>
  <c r="F24" i="8"/>
  <c r="I19" i="8"/>
  <c r="I17" i="8"/>
  <c r="I20" i="8"/>
  <c r="I18" i="8"/>
  <c r="D27" i="8"/>
  <c r="D25" i="8"/>
  <c r="D26" i="8"/>
  <c r="D24" i="8"/>
  <c r="D29" i="8" s="1"/>
  <c r="D30" i="8" s="1"/>
  <c r="F19" i="8"/>
  <c r="F17" i="8"/>
  <c r="F20" i="8"/>
  <c r="F18" i="8"/>
  <c r="I25" i="8"/>
  <c r="I26" i="8"/>
  <c r="I24" i="8"/>
  <c r="I29" i="8" s="1"/>
  <c r="I30" i="8" s="1"/>
  <c r="I27" i="8"/>
  <c r="O79" i="8"/>
  <c r="O80" i="8" s="1"/>
  <c r="O70" i="8"/>
  <c r="O69" i="8"/>
  <c r="O76" i="8" s="1"/>
  <c r="C110" i="8"/>
  <c r="C111" i="8" s="1"/>
  <c r="K25" i="8"/>
  <c r="I41" i="6"/>
  <c r="I43" i="6"/>
  <c r="J69" i="8"/>
  <c r="J79" i="8"/>
  <c r="J80" i="8" s="1"/>
  <c r="J70" i="8"/>
  <c r="K41" i="6"/>
  <c r="K43" i="6"/>
  <c r="D43" i="6"/>
  <c r="D41" i="6"/>
  <c r="C69" i="8"/>
  <c r="C79" i="8"/>
  <c r="C80" i="8" s="1"/>
  <c r="C70" i="8"/>
  <c r="K27" i="8"/>
  <c r="E77" i="8"/>
  <c r="D109" i="8"/>
  <c r="D108" i="8"/>
  <c r="D112" i="8"/>
  <c r="M103" i="8"/>
  <c r="M105" i="8" s="1"/>
  <c r="K24" i="8"/>
  <c r="K29" i="8" s="1"/>
  <c r="K30" i="8" s="1"/>
  <c r="G19" i="8"/>
  <c r="G17" i="8"/>
  <c r="G20" i="8"/>
  <c r="G18" i="8"/>
  <c r="D21" i="8"/>
  <c r="D23" i="8" s="1"/>
  <c r="M79" i="8"/>
  <c r="M80" i="8" s="1"/>
  <c r="M70" i="8"/>
  <c r="M69" i="8"/>
  <c r="M76" i="8" s="1"/>
  <c r="G43" i="6"/>
  <c r="G41" i="6"/>
  <c r="M99" i="8"/>
  <c r="J19" i="8"/>
  <c r="J17" i="8"/>
  <c r="J20" i="8"/>
  <c r="J18" i="8"/>
  <c r="O25" i="8"/>
  <c r="K26" i="8"/>
  <c r="H19" i="8"/>
  <c r="H17" i="8"/>
  <c r="H20" i="8"/>
  <c r="H18" i="8"/>
  <c r="I77" i="8"/>
  <c r="O27" i="8"/>
  <c r="E27" i="8"/>
  <c r="E25" i="8"/>
  <c r="E26" i="8"/>
  <c r="E24" i="8"/>
  <c r="H25" i="8"/>
  <c r="H26" i="8"/>
  <c r="H24" i="8"/>
  <c r="H27" i="8"/>
  <c r="L19" i="8"/>
  <c r="L17" i="8"/>
  <c r="L20" i="8"/>
  <c r="L18" i="8"/>
  <c r="O24" i="8"/>
  <c r="E19" i="8"/>
  <c r="E17" i="8"/>
  <c r="E20" i="8"/>
  <c r="E18" i="8"/>
  <c r="F19" i="6"/>
  <c r="F23" i="6" s="1"/>
  <c r="F20" i="6"/>
  <c r="F24" i="6" s="1"/>
  <c r="C21" i="8"/>
  <c r="C23" i="8" s="1"/>
  <c r="D76" i="8"/>
  <c r="J41" i="6"/>
  <c r="J43" i="6"/>
  <c r="E108" i="8"/>
  <c r="E109" i="8" s="1"/>
  <c r="F25" i="6"/>
  <c r="N19" i="8"/>
  <c r="N17" i="8"/>
  <c r="N20" i="8"/>
  <c r="N18" i="8"/>
  <c r="M72" i="8"/>
  <c r="M77" i="8" s="1"/>
  <c r="D105" i="8"/>
  <c r="O19" i="8"/>
  <c r="O17" i="8"/>
  <c r="O20" i="8"/>
  <c r="O18" i="8"/>
  <c r="H77" i="8"/>
  <c r="F22" i="6"/>
  <c r="F26" i="6" s="1"/>
  <c r="F108" i="8"/>
  <c r="F109" i="8" s="1"/>
  <c r="I69" i="8"/>
  <c r="I76" i="8" s="1"/>
  <c r="I79" i="8"/>
  <c r="I80" i="8" s="1"/>
  <c r="I70" i="8"/>
  <c r="D20" i="8"/>
  <c r="C77" i="8"/>
  <c r="F110" i="8"/>
  <c r="F111" i="8" s="1"/>
  <c r="J76" i="8" l="1"/>
  <c r="M29" i="8"/>
  <c r="M30" i="8" s="1"/>
  <c r="G21" i="8"/>
  <c r="G23" i="8" s="1"/>
  <c r="I21" i="8"/>
  <c r="I23" i="8" s="1"/>
  <c r="D66" i="8"/>
  <c r="D67" i="8"/>
  <c r="I19" i="6"/>
  <c r="I23" i="6" s="1"/>
  <c r="I20" i="6"/>
  <c r="I24" i="6" s="1"/>
  <c r="I22" i="6"/>
  <c r="I26" i="6" s="1"/>
  <c r="I21" i="6"/>
  <c r="I25" i="6" s="1"/>
  <c r="G66" i="8"/>
  <c r="G67" i="8"/>
  <c r="J19" i="6"/>
  <c r="J23" i="6" s="1"/>
  <c r="J20" i="6"/>
  <c r="J24" i="6" s="1"/>
  <c r="J21" i="6"/>
  <c r="J25" i="6" s="1"/>
  <c r="J22" i="6"/>
  <c r="J26" i="6" s="1"/>
  <c r="K67" i="8"/>
  <c r="F29" i="8"/>
  <c r="F30" i="8" s="1"/>
  <c r="N66" i="8"/>
  <c r="N75" i="8" s="1"/>
  <c r="N67" i="8"/>
  <c r="M111" i="8"/>
  <c r="M112" i="8" s="1"/>
  <c r="C66" i="8"/>
  <c r="C75" i="8" s="1"/>
  <c r="C67" i="8"/>
  <c r="H76" i="8"/>
  <c r="H21" i="8"/>
  <c r="H23" i="8" s="1"/>
  <c r="N76" i="8"/>
  <c r="C53" i="5"/>
  <c r="C57" i="5" s="1"/>
  <c r="C52" i="5"/>
  <c r="C56" i="5" s="1"/>
  <c r="C51" i="5"/>
  <c r="C55" i="5" s="1"/>
  <c r="C50" i="5"/>
  <c r="C54" i="5" s="1"/>
  <c r="K22" i="6"/>
  <c r="K26" i="6" s="1"/>
  <c r="K19" i="6"/>
  <c r="K23" i="6" s="1"/>
  <c r="K21" i="6"/>
  <c r="K25" i="6" s="1"/>
  <c r="K20" i="6"/>
  <c r="K24" i="6" s="1"/>
  <c r="L19" i="6"/>
  <c r="L23" i="6" s="1"/>
  <c r="L21" i="6"/>
  <c r="L25" i="6" s="1"/>
  <c r="L20" i="6"/>
  <c r="L24" i="6" s="1"/>
  <c r="L22" i="6"/>
  <c r="L26" i="6" s="1"/>
  <c r="I66" i="8"/>
  <c r="I75" i="8" s="1"/>
  <c r="I67" i="8"/>
  <c r="H22" i="6"/>
  <c r="H26" i="6" s="1"/>
  <c r="H19" i="6"/>
  <c r="H23" i="6" s="1"/>
  <c r="H21" i="6"/>
  <c r="H25" i="6" s="1"/>
  <c r="H20" i="6"/>
  <c r="H24" i="6" s="1"/>
  <c r="J66" i="8"/>
  <c r="J67" i="8"/>
  <c r="C76" i="8"/>
  <c r="H29" i="8"/>
  <c r="H30" i="8" s="1"/>
  <c r="J21" i="8"/>
  <c r="J23" i="8" s="1"/>
  <c r="D20" i="6"/>
  <c r="D24" i="6" s="1"/>
  <c r="D19" i="6"/>
  <c r="D23" i="6" s="1"/>
  <c r="D21" i="6"/>
  <c r="D25" i="6" s="1"/>
  <c r="D22" i="6"/>
  <c r="D26" i="6" s="1"/>
  <c r="E21" i="8"/>
  <c r="E23" i="8" s="1"/>
  <c r="M21" i="8"/>
  <c r="M23" i="8" s="1"/>
  <c r="L76" i="8"/>
  <c r="L21" i="8"/>
  <c r="L23" i="8" s="1"/>
  <c r="L66" i="8" s="1"/>
  <c r="O21" i="8"/>
  <c r="O23" i="8" s="1"/>
  <c r="N21" i="8"/>
  <c r="N23" i="8" s="1"/>
  <c r="M101" i="8"/>
  <c r="M114" i="8"/>
  <c r="K64" i="8" s="1"/>
  <c r="G19" i="6"/>
  <c r="G23" i="6" s="1"/>
  <c r="G20" i="6"/>
  <c r="G24" i="6" s="1"/>
  <c r="G21" i="6"/>
  <c r="G25" i="6" s="1"/>
  <c r="G22" i="6"/>
  <c r="G26" i="6" s="1"/>
  <c r="F21" i="8"/>
  <c r="F23" i="8" s="1"/>
  <c r="O29" i="8"/>
  <c r="O30" i="8" s="1"/>
  <c r="D113" i="8"/>
  <c r="D111" i="8"/>
  <c r="D110" i="8"/>
  <c r="E29" i="8"/>
  <c r="E30" i="8" s="1"/>
  <c r="F66" i="8" l="1"/>
  <c r="F75" i="8" s="1"/>
  <c r="F67" i="8"/>
  <c r="J75" i="8"/>
  <c r="G75" i="8"/>
  <c r="K72" i="8"/>
  <c r="K77" i="8" s="1"/>
  <c r="K69" i="8"/>
  <c r="K76" i="8" s="1"/>
  <c r="K79" i="8"/>
  <c r="K80" i="8" s="1"/>
  <c r="M109" i="8"/>
  <c r="M110" i="8" s="1"/>
  <c r="O67" i="8"/>
  <c r="O66" i="8"/>
  <c r="O75" i="8" s="1"/>
  <c r="K66" i="8"/>
  <c r="K75" i="8" s="1"/>
  <c r="D75" i="8"/>
  <c r="E66" i="8"/>
  <c r="E67" i="8"/>
  <c r="L67" i="8"/>
  <c r="L75" i="8" s="1"/>
  <c r="H66" i="8"/>
  <c r="H67" i="8"/>
  <c r="M66" i="8"/>
  <c r="M67" i="8"/>
  <c r="M75" i="8" l="1"/>
  <c r="E75" i="8"/>
  <c r="H75" i="8"/>
</calcChain>
</file>

<file path=xl/sharedStrings.xml><?xml version="1.0" encoding="utf-8"?>
<sst xmlns="http://schemas.openxmlformats.org/spreadsheetml/2006/main" count="705" uniqueCount="393">
  <si>
    <t>Component</t>
  </si>
  <si>
    <t>Torque</t>
  </si>
  <si>
    <t>Speed</t>
  </si>
  <si>
    <t>True Speed</t>
  </si>
  <si>
    <t>Horsepower</t>
  </si>
  <si>
    <t>Sum</t>
  </si>
  <si>
    <t>Oil Pump</t>
  </si>
  <si>
    <t>Hydraulic Pump</t>
  </si>
  <si>
    <t>Electrical Generator</t>
  </si>
  <si>
    <t>Fuel Pump</t>
  </si>
  <si>
    <t>Accessory Shaft</t>
  </si>
  <si>
    <t>Transfer Shaft</t>
  </si>
  <si>
    <t>14-8</t>
  </si>
  <si>
    <t>14-2</t>
  </si>
  <si>
    <t>Pinion Material</t>
  </si>
  <si>
    <t>Gear Material</t>
  </si>
  <si>
    <t>Lewis Form Factor</t>
  </si>
  <si>
    <t>E (lb/in^2)</t>
  </si>
  <si>
    <t>Steel</t>
  </si>
  <si>
    <t>Malleable Iron</t>
  </si>
  <si>
    <t>Nodular Iron</t>
  </si>
  <si>
    <t>Cast Iron</t>
  </si>
  <si>
    <t>Al Bronze</t>
  </si>
  <si>
    <t>Tin Bronze</t>
  </si>
  <si>
    <t>N</t>
  </si>
  <si>
    <t>Y</t>
  </si>
  <si>
    <t>;'</t>
  </si>
  <si>
    <t>Description</t>
  </si>
  <si>
    <t>Variable</t>
  </si>
  <si>
    <t>Value</t>
  </si>
  <si>
    <t>Units</t>
  </si>
  <si>
    <t>Chart</t>
  </si>
  <si>
    <t>Pressure angle</t>
  </si>
  <si>
    <t>Φt</t>
  </si>
  <si>
    <t>degrees</t>
  </si>
  <si>
    <t>Number of pinion teeth</t>
  </si>
  <si>
    <t>Np</t>
  </si>
  <si>
    <t>teeth</t>
  </si>
  <si>
    <t>Legend</t>
  </si>
  <si>
    <t>Number of gear teeth</t>
  </si>
  <si>
    <t>Ng</t>
  </si>
  <si>
    <t>Predefined</t>
  </si>
  <si>
    <t>Diametric pitch</t>
  </si>
  <si>
    <t>Pd</t>
  </si>
  <si>
    <t>teeth/in</t>
  </si>
  <si>
    <t>Auto-calculated</t>
  </si>
  <si>
    <t>Gear quality</t>
  </si>
  <si>
    <t>Q</t>
  </si>
  <si>
    <t>Chosen by us</t>
  </si>
  <si>
    <t>Face width</t>
  </si>
  <si>
    <t>F</t>
  </si>
  <si>
    <t>in</t>
  </si>
  <si>
    <t>Value from chart</t>
  </si>
  <si>
    <t>Pinion angular velocity</t>
  </si>
  <si>
    <t>np</t>
  </si>
  <si>
    <t>rev/min</t>
  </si>
  <si>
    <t>Pinion pitch diameter</t>
  </si>
  <si>
    <t>dp</t>
  </si>
  <si>
    <t>Gear pitch diameter</t>
  </si>
  <si>
    <t>dg</t>
  </si>
  <si>
    <t>Tangential velocity</t>
  </si>
  <si>
    <t>V</t>
  </si>
  <si>
    <t>ft/min</t>
  </si>
  <si>
    <t>Gear ratio</t>
  </si>
  <si>
    <t>mg</t>
  </si>
  <si>
    <t>Gear angular velocity</t>
  </si>
  <si>
    <t>ng</t>
  </si>
  <si>
    <t>Pinion horsepower</t>
  </si>
  <si>
    <t>H</t>
  </si>
  <si>
    <t>hp</t>
  </si>
  <si>
    <t>Pinion hardness</t>
  </si>
  <si>
    <t>HB,p</t>
  </si>
  <si>
    <t>HB</t>
  </si>
  <si>
    <t>Gear hardness</t>
  </si>
  <si>
    <t>HB,g</t>
  </si>
  <si>
    <t>Tangential force</t>
  </si>
  <si>
    <t>Wt</t>
  </si>
  <si>
    <t>lbf</t>
  </si>
  <si>
    <t>Pinion geometry factor</t>
  </si>
  <si>
    <t>Jp</t>
  </si>
  <si>
    <t>14-6</t>
  </si>
  <si>
    <t>Gear geometry factor</t>
  </si>
  <si>
    <t>Jg</t>
  </si>
  <si>
    <t>Surface-strength geo. fact.</t>
  </si>
  <si>
    <t>I</t>
  </si>
  <si>
    <t>Elastic coefficient</t>
  </si>
  <si>
    <t>Cp</t>
  </si>
  <si>
    <t>sqrt( lbf/in^2 )</t>
  </si>
  <si>
    <t>Dynamic factor</t>
  </si>
  <si>
    <t>Kv</t>
  </si>
  <si>
    <t>Overload factor</t>
  </si>
  <si>
    <t>Ko</t>
  </si>
  <si>
    <t>Surface condition factor</t>
  </si>
  <si>
    <t>Cf</t>
  </si>
  <si>
    <t>Pinion Lewis form factor</t>
  </si>
  <si>
    <t>Yp</t>
  </si>
  <si>
    <t>Gear Lewis form factor</t>
  </si>
  <si>
    <t>Yg</t>
  </si>
  <si>
    <t>Pinion size factor</t>
  </si>
  <si>
    <t>Ks,p</t>
  </si>
  <si>
    <t>Gear size factor</t>
  </si>
  <si>
    <t>Ks,g</t>
  </si>
  <si>
    <t>Cmc</t>
  </si>
  <si>
    <t>Cpf</t>
  </si>
  <si>
    <t>Bearing centerline distance</t>
  </si>
  <si>
    <t>S</t>
  </si>
  <si>
    <t>Gear centerline offset</t>
  </si>
  <si>
    <t>S1</t>
  </si>
  <si>
    <t>Cpm</t>
  </si>
  <si>
    <t>Mesh alignment factor</t>
  </si>
  <si>
    <t>Cma</t>
  </si>
  <si>
    <t>Ce</t>
  </si>
  <si>
    <t>Load-distribution factor</t>
  </si>
  <si>
    <t>Km</t>
  </si>
  <si>
    <t>Pinion hardness ratio factor</t>
  </si>
  <si>
    <t>CH,p</t>
  </si>
  <si>
    <t>Gear hardness ratio factor</t>
  </si>
  <si>
    <t>CH,g</t>
  </si>
  <si>
    <t>Allowable bending stress</t>
  </si>
  <si>
    <t>St,p</t>
  </si>
  <si>
    <t>lb/in^2</t>
  </si>
  <si>
    <t>Contact-fatigue strength</t>
  </si>
  <si>
    <t>Sc,p</t>
  </si>
  <si>
    <t>Service life</t>
  </si>
  <si>
    <t>cycles</t>
  </si>
  <si>
    <t>Pinion bending cycle factor</t>
  </si>
  <si>
    <t>YNp</t>
  </si>
  <si>
    <t>Gear bending cycle factor</t>
  </si>
  <si>
    <t>YNg</t>
  </si>
  <si>
    <t>Pinion contact cycle factor</t>
  </si>
  <si>
    <t>ZNp</t>
  </si>
  <si>
    <t>Gear contact cycle factor</t>
  </si>
  <si>
    <t>ZNg</t>
  </si>
  <si>
    <t>Reliability</t>
  </si>
  <si>
    <t>R</t>
  </si>
  <si>
    <t>Reliability factor</t>
  </si>
  <si>
    <t>KR</t>
  </si>
  <si>
    <t>Temperature factor</t>
  </si>
  <si>
    <t>KT</t>
  </si>
  <si>
    <t>Rim-thickness factor</t>
  </si>
  <si>
    <t>KB</t>
  </si>
  <si>
    <t>Pinion AGMA bending stress</t>
  </si>
  <si>
    <t>σb,p</t>
  </si>
  <si>
    <t>lbf/in^2</t>
  </si>
  <si>
    <t>Gear AGMA bending stress</t>
  </si>
  <si>
    <t>σb,g</t>
  </si>
  <si>
    <t>Pinion AGMA contact stress</t>
  </si>
  <si>
    <t>σc,p</t>
  </si>
  <si>
    <t>Gear AGMA contact stress</t>
  </si>
  <si>
    <t>σc,g</t>
  </si>
  <si>
    <t>Pinion FoS in bending</t>
  </si>
  <si>
    <t>SF,p</t>
  </si>
  <si>
    <t>Gear FoS in bending</t>
  </si>
  <si>
    <t>SF,g</t>
  </si>
  <si>
    <t>Pinion FoS in pitting</t>
  </si>
  <si>
    <t>SH,p</t>
  </si>
  <si>
    <t>Gear Fos in pitting</t>
  </si>
  <si>
    <t>SH,g</t>
  </si>
  <si>
    <t>Gear Pair</t>
  </si>
  <si>
    <t>2+3</t>
  </si>
  <si>
    <t>4+5</t>
  </si>
  <si>
    <t>5+6</t>
  </si>
  <si>
    <t>7+8</t>
  </si>
  <si>
    <t>8+9</t>
  </si>
  <si>
    <t>10+11</t>
  </si>
  <si>
    <t>11+12</t>
  </si>
  <si>
    <t>12+13</t>
  </si>
  <si>
    <t>14+15</t>
  </si>
  <si>
    <t>16+17</t>
  </si>
  <si>
    <t>Pinion speed</t>
  </si>
  <si>
    <t>Pinion material</t>
  </si>
  <si>
    <t>Mat,p</t>
  </si>
  <si>
    <t>Gear material</t>
  </si>
  <si>
    <t>Mat,g</t>
  </si>
  <si>
    <t>Chart 14-6</t>
  </si>
  <si>
    <t>Helix angle</t>
  </si>
  <si>
    <t>Ψ</t>
  </si>
  <si>
    <t>Grade</t>
  </si>
  <si>
    <t>3, Chromed</t>
  </si>
  <si>
    <t>Quality standard</t>
  </si>
  <si>
    <t>Gear speed</t>
  </si>
  <si>
    <t>Pinion addendum diameter</t>
  </si>
  <si>
    <t>OD,p</t>
  </si>
  <si>
    <t>Gear addendum diameter</t>
  </si>
  <si>
    <t>OD,g</t>
  </si>
  <si>
    <t>Pinion root diameter</t>
  </si>
  <si>
    <t>Gear root diameter</t>
  </si>
  <si>
    <t>ft/s</t>
  </si>
  <si>
    <t>Load correction factor</t>
  </si>
  <si>
    <t>Pinion proportion factor</t>
  </si>
  <si>
    <t>Pinion proportion modifier</t>
  </si>
  <si>
    <t>Mesh alignment correction</t>
  </si>
  <si>
    <t>St</t>
  </si>
  <si>
    <t>Pitch Diameter (Pinion)</t>
  </si>
  <si>
    <t>Dp</t>
  </si>
  <si>
    <t>Pitch Diameter (Gear)</t>
  </si>
  <si>
    <t>Dedebdun</t>
  </si>
  <si>
    <t>u</t>
  </si>
  <si>
    <t>Alt. Naming</t>
  </si>
  <si>
    <t>Done?</t>
  </si>
  <si>
    <t>None</t>
  </si>
  <si>
    <t>David</t>
  </si>
  <si>
    <t>Alex</t>
  </si>
  <si>
    <t>yes</t>
  </si>
  <si>
    <t>Maria</t>
  </si>
  <si>
    <t>Yes</t>
  </si>
  <si>
    <t>Joseph</t>
  </si>
  <si>
    <t>Joey</t>
  </si>
  <si>
    <t>Adam</t>
  </si>
  <si>
    <t>Nick</t>
  </si>
  <si>
    <t>Andreh</t>
  </si>
  <si>
    <t>gears 15 and 16</t>
  </si>
  <si>
    <t>Shaft</t>
  </si>
  <si>
    <t xml:space="preserve">test </t>
  </si>
  <si>
    <t xml:space="preserve">Adam </t>
  </si>
  <si>
    <t>G 15 &amp; 16</t>
  </si>
  <si>
    <t>Fatigue strength factor</t>
  </si>
  <si>
    <t>f</t>
  </si>
  <si>
    <t>Sy</t>
  </si>
  <si>
    <t>Sut</t>
  </si>
  <si>
    <t>Fatigue stress-concentration – bering sholder:</t>
  </si>
  <si>
    <t>d</t>
  </si>
  <si>
    <t>D/d</t>
  </si>
  <si>
    <t>r/d</t>
  </si>
  <si>
    <t>D</t>
  </si>
  <si>
    <t>r</t>
  </si>
  <si>
    <t>t</t>
  </si>
  <si>
    <t>t/r</t>
  </si>
  <si>
    <t>sqrt(t/r)</t>
  </si>
  <si>
    <t>C1_t</t>
  </si>
  <si>
    <t>C2 _t</t>
  </si>
  <si>
    <t>C3_t</t>
  </si>
  <si>
    <t>C4_t</t>
  </si>
  <si>
    <t>Kts</t>
  </si>
  <si>
    <t>q</t>
  </si>
  <si>
    <t>K_fs</t>
  </si>
  <si>
    <t>C1_b</t>
  </si>
  <si>
    <t>C2 _b</t>
  </si>
  <si>
    <t>C3_b</t>
  </si>
  <si>
    <t>C4_b</t>
  </si>
  <si>
    <t>Kt</t>
  </si>
  <si>
    <t>K_f</t>
  </si>
  <si>
    <t>Fatigue stress-concentration – groove:</t>
  </si>
  <si>
    <t>Neuber constant (torsion) @ S_ut = 200kpsi</t>
  </si>
  <si>
    <t>sqrt a</t>
  </si>
  <si>
    <t>Neuber constat (bend) @ S_ut = 200kpsi</t>
  </si>
  <si>
    <t>Notch sensitivity equation (Torsion)</t>
  </si>
  <si>
    <t>Notch sensitivity equation (bend)</t>
  </si>
  <si>
    <t>Neuber equation/Torsion</t>
  </si>
  <si>
    <t>Neuber equation/Axial</t>
  </si>
  <si>
    <t>Fatigue stress-concentration – keyway:</t>
  </si>
  <si>
    <t>Crack raduis</t>
  </si>
  <si>
    <t>Neuber constant/Torsion @ S_ut = 200kpsi</t>
  </si>
  <si>
    <t>Neuber constant/Axial @ S_ut = 200kpsi</t>
  </si>
  <si>
    <t>Notch sensitivity equation/Torsion</t>
  </si>
  <si>
    <t>Notch sensitivity equation/Axial</t>
  </si>
  <si>
    <t>Se calc</t>
  </si>
  <si>
    <t>Se'</t>
  </si>
  <si>
    <t>Finish: machined</t>
  </si>
  <si>
    <t>b</t>
  </si>
  <si>
    <t>"</t>
  </si>
  <si>
    <t>a</t>
  </si>
  <si>
    <t>Suface factor</t>
  </si>
  <si>
    <t>ka</t>
  </si>
  <si>
    <t>size factor (d)</t>
  </si>
  <si>
    <t>kb</t>
  </si>
  <si>
    <t>loding factor</t>
  </si>
  <si>
    <t xml:space="preserve"> kc (bending)</t>
  </si>
  <si>
    <t>Operrating temp</t>
  </si>
  <si>
    <t>T_F</t>
  </si>
  <si>
    <t>Temp factor</t>
  </si>
  <si>
    <t>kd</t>
  </si>
  <si>
    <t>Relaibility</t>
  </si>
  <si>
    <t>Relability Factor</t>
  </si>
  <si>
    <t>ke</t>
  </si>
  <si>
    <t>Misc factor</t>
  </si>
  <si>
    <t>kf</t>
  </si>
  <si>
    <t xml:space="preserve"> </t>
  </si>
  <si>
    <t>Se</t>
  </si>
  <si>
    <t>Monent and torsion alternating and  midrang</t>
  </si>
  <si>
    <t>Midrange torison</t>
  </si>
  <si>
    <t>Tm</t>
  </si>
  <si>
    <t>Midrange moment</t>
  </si>
  <si>
    <t>Mm</t>
  </si>
  <si>
    <t>alternating torison</t>
  </si>
  <si>
    <t>Ta</t>
  </si>
  <si>
    <t>alternating moment</t>
  </si>
  <si>
    <t>Ma</t>
  </si>
  <si>
    <t>ALt mid sholder</t>
  </si>
  <si>
    <t>Alt von mises</t>
  </si>
  <si>
    <t>A</t>
  </si>
  <si>
    <t>Mid von mises</t>
  </si>
  <si>
    <t>B</t>
  </si>
  <si>
    <t>Alt mid Groove</t>
  </si>
  <si>
    <t>Alt mid key</t>
  </si>
  <si>
    <t>Fatigue FOS</t>
  </si>
  <si>
    <t>Sholder Fatigue
FOS</t>
  </si>
  <si>
    <t>n_Sholder</t>
  </si>
  <si>
    <t>Groove Fatigue
FOS</t>
  </si>
  <si>
    <t>n_Groove</t>
  </si>
  <si>
    <t>Key Fatigue FOS</t>
  </si>
  <si>
    <t>n_Key</t>
  </si>
  <si>
    <t>Yeilding FOS</t>
  </si>
  <si>
    <t>Von mises groove</t>
  </si>
  <si>
    <t>sigma'_max</t>
  </si>
  <si>
    <t>FOS yeild groove</t>
  </si>
  <si>
    <t>n_yGroove</t>
  </si>
  <si>
    <t>o</t>
  </si>
  <si>
    <t>Shaft 8 calc</t>
  </si>
  <si>
    <t>Shaft 11</t>
  </si>
  <si>
    <t>Shaft 7 calc</t>
  </si>
  <si>
    <t>Shaft 9 calc</t>
  </si>
  <si>
    <t>Shaft 12 calc</t>
  </si>
  <si>
    <t>Shaft 10 calc</t>
  </si>
  <si>
    <t>Taccesory</t>
  </si>
  <si>
    <t>Shaft 6 calc</t>
  </si>
  <si>
    <t>c</t>
  </si>
  <si>
    <t>theta</t>
  </si>
  <si>
    <t>Wr</t>
  </si>
  <si>
    <t>theta2</t>
  </si>
  <si>
    <t>theta1</t>
  </si>
  <si>
    <t>Force in the X1</t>
  </si>
  <si>
    <t>Force in the Z1</t>
  </si>
  <si>
    <t>tangential  Force</t>
  </si>
  <si>
    <t>Force in the X2</t>
  </si>
  <si>
    <t>radial Force</t>
  </si>
  <si>
    <t>Force in the Z2</t>
  </si>
  <si>
    <t>Force totoal X</t>
  </si>
  <si>
    <t>X2</t>
  </si>
  <si>
    <t>Forcce total z</t>
  </si>
  <si>
    <t>Sum Fx</t>
  </si>
  <si>
    <t>L1</t>
  </si>
  <si>
    <t>L2</t>
  </si>
  <si>
    <t>Force in the Z</t>
  </si>
  <si>
    <t>reaction Ax</t>
  </si>
  <si>
    <t>Z2</t>
  </si>
  <si>
    <t>reaction Bx</t>
  </si>
  <si>
    <t>Sum Fz</t>
  </si>
  <si>
    <t>reaction Az</t>
  </si>
  <si>
    <t>reaction Bz</t>
  </si>
  <si>
    <t>MaxMoment</t>
  </si>
  <si>
    <t>Moment x</t>
  </si>
  <si>
    <t>Momment y</t>
  </si>
  <si>
    <t>L</t>
  </si>
  <si>
    <t xml:space="preserve">Moment </t>
  </si>
  <si>
    <t>Max Moment</t>
  </si>
  <si>
    <t>TEAM #</t>
  </si>
  <si>
    <t>% COMPLETE</t>
  </si>
  <si>
    <t>SHAFT ANALYSIS &amp; SIZING</t>
  </si>
  <si>
    <t>RESPONSIBLE STUDENT</t>
  </si>
  <si>
    <t>WEEK 1</t>
  </si>
  <si>
    <t>WEEK 2</t>
  </si>
  <si>
    <t>WEEK 3</t>
  </si>
  <si>
    <t>WEEK 4</t>
  </si>
  <si>
    <t>WEEK 5</t>
  </si>
  <si>
    <t>WEEK 6</t>
  </si>
  <si>
    <t>WEEK 7</t>
  </si>
  <si>
    <t>WEEK 8</t>
  </si>
  <si>
    <t>SHAFT SUPPORT REACTIONS</t>
  </si>
  <si>
    <t>All</t>
  </si>
  <si>
    <t>SHEAR &amp; BENDING MOMENT DIAGRAMS</t>
  </si>
  <si>
    <t>STRESS CONCENTRATION FACTORS</t>
  </si>
  <si>
    <t>STATIC ANALYSIS</t>
  </si>
  <si>
    <t>FATIGUE ANALYSIS</t>
  </si>
  <si>
    <t>Tipane &amp; Shamoon</t>
  </si>
  <si>
    <t>S-N CURVES</t>
  </si>
  <si>
    <t>Shamoon</t>
  </si>
  <si>
    <t>MATERIAL SELECTION</t>
  </si>
  <si>
    <t>GEARTRAIN ANALYSIS &amp; SIZING</t>
  </si>
  <si>
    <t>GEARTRAIN LAYOUT</t>
  </si>
  <si>
    <t>GEAR FORCES</t>
  </si>
  <si>
    <t>GEAR BENDING STRESS ANALYSIS</t>
  </si>
  <si>
    <t>GEAR CONTACT STRESS ANALYSIS</t>
  </si>
  <si>
    <t>GEAR RATIOS</t>
  </si>
  <si>
    <t>FINAL REPORT</t>
  </si>
  <si>
    <t>DESIGN REQUIREMENTS REVIEW</t>
  </si>
  <si>
    <t>SHAFT SIZING &amp; ANALYSIS</t>
  </si>
  <si>
    <t>GEARTRAIN ANALYSIS</t>
  </si>
  <si>
    <t>GEAR STRESS ANALYSIS</t>
  </si>
  <si>
    <t>GRAPHICS/TABLES</t>
  </si>
  <si>
    <t>TEAM ATTESTATION</t>
  </si>
  <si>
    <t>SIGNATURE</t>
  </si>
  <si>
    <t>LEVEL OF EFFORT (Score of 1-5)</t>
  </si>
  <si>
    <t xml:space="preserve">STUDENT #1: Joseph Tipane </t>
  </si>
  <si>
    <t xml:space="preserve">STUDNT #2: Maria Shamoon </t>
  </si>
  <si>
    <t>STUDENT #3 David Mauzey</t>
  </si>
  <si>
    <t xml:space="preserve">STUDENT #4: Joseph Morales </t>
  </si>
  <si>
    <t xml:space="preserve">STUDENT #5: Nicholas Constantino </t>
  </si>
  <si>
    <t xml:space="preserve">STUDENT #6: Andre Hozi </t>
  </si>
  <si>
    <t xml:space="preserve">STUDENT #7: Alex Cherry </t>
  </si>
  <si>
    <t>STUDENT #8: Adam Marquez</t>
  </si>
  <si>
    <t xml:space="preserve">Number of pinion </t>
  </si>
  <si>
    <t xml:space="preserve">Number of gear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</si>
</sst>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0"/>
    <numFmt numFmtId="165" formatCode="0.0"/>
    <numFmt numFmtId="166" formatCode="0.000000"/>
  </numFmts>
  <fonts count="23">
    <font>
      <sz val="10"/>
      <color rgb="FF000000"/>
      <name val="Arial"/>
      <scheme val="minor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sz val="10"/>
      <color rgb="FFFF0000"/>
      <name val="Arial"/>
      <scheme val="minor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sz val="11"/>
      <color theme="1"/>
      <name val="Arial"/>
      <scheme val="minor"/>
    </font>
    <font>
      <sz val="10"/>
      <color theme="1"/>
      <name val="Arial"/>
    </font>
    <font>
      <b/>
      <sz val="11"/>
      <color theme="1"/>
      <name val="Arial"/>
    </font>
    <font>
      <b/>
      <i/>
      <sz val="10"/>
      <color theme="1"/>
      <name val="Arial"/>
      <scheme val="minor"/>
    </font>
    <font>
      <sz val="10"/>
      <color theme="1"/>
      <name val="Arial"/>
    </font>
    <font>
      <b/>
      <i/>
      <sz val="10"/>
      <color theme="1"/>
      <name val="Arial"/>
    </font>
    <font>
      <sz val="10"/>
      <color rgb="FF000000"/>
      <name val="Arial"/>
    </font>
    <font>
      <sz val="9"/>
      <color rgb="FF000000"/>
      <name val="&quot;Google Sans Mono&quot;"/>
    </font>
    <font>
      <sz val="9"/>
      <color theme="1"/>
      <name val="&quot;Google Sans Mono&quot;"/>
    </font>
    <font>
      <b/>
      <sz val="11"/>
      <color theme="1"/>
      <name val="Sans-serif"/>
    </font>
    <font>
      <sz val="11"/>
      <color theme="1"/>
      <name val="Arial"/>
    </font>
    <font>
      <sz val="11"/>
      <color rgb="FF1F1F1F"/>
      <name val="&quot;Google Sans&quot;"/>
    </font>
    <font>
      <b/>
      <i/>
      <sz val="9"/>
      <color rgb="FF000000"/>
      <name val="&quot;Google Sans Mono&quot;"/>
    </font>
    <font>
      <sz val="9"/>
      <color rgb="FF7E3794"/>
      <name val="&quot;Google Sans Mono&quot;"/>
    </font>
    <font>
      <sz val="10"/>
      <color rgb="FF000000"/>
      <name val="Arial"/>
      <scheme val="minor"/>
    </font>
    <font>
      <b/>
      <sz val="12"/>
      <color theme="1"/>
      <name val="Arial"/>
    </font>
    <font>
      <sz val="10"/>
      <name val="Arial"/>
    </font>
  </fonts>
  <fills count="16">
    <fill>
      <patternFill patternType="none"/>
    </fill>
    <fill>
      <patternFill patternType="gray125"/>
    </fill>
    <fill>
      <patternFill patternType="solid">
        <fgColor rgb="FF999999"/>
        <bgColor rgb="FF999999"/>
      </patternFill>
    </fill>
    <fill>
      <patternFill patternType="solid">
        <fgColor rgb="FFD9D9D9"/>
        <bgColor rgb="FFD9D9D9"/>
      </patternFill>
    </fill>
    <fill>
      <patternFill patternType="solid">
        <fgColor rgb="FF00FFFF"/>
        <bgColor rgb="FF00FFFF"/>
      </patternFill>
    </fill>
    <fill>
      <patternFill patternType="solid">
        <fgColor rgb="FF666666"/>
        <bgColor rgb="FF666666"/>
      </patternFill>
    </fill>
    <fill>
      <patternFill patternType="solid">
        <fgColor rgb="FFCCCCCC"/>
        <bgColor rgb="FFCCCCCC"/>
      </patternFill>
    </fill>
    <fill>
      <patternFill patternType="solid">
        <fgColor rgb="FF00FF00"/>
        <bgColor rgb="FF00FF00"/>
      </patternFill>
    </fill>
    <fill>
      <patternFill patternType="solid">
        <fgColor rgb="FFFF9900"/>
        <bgColor rgb="FFFF9900"/>
      </patternFill>
    </fill>
    <fill>
      <patternFill patternType="solid">
        <fgColor rgb="FFFFFFFF"/>
        <bgColor rgb="FFFFFFFF"/>
      </patternFill>
    </fill>
    <fill>
      <patternFill patternType="solid">
        <fgColor rgb="FFFFFF00"/>
        <bgColor rgb="FFFFFF00"/>
      </patternFill>
    </fill>
    <fill>
      <patternFill patternType="solid">
        <fgColor rgb="FFB7B7B7"/>
        <bgColor rgb="FFB7B7B7"/>
      </patternFill>
    </fill>
    <fill>
      <patternFill patternType="solid">
        <fgColor rgb="FFF2F2F2"/>
        <bgColor rgb="FFF2F2F2"/>
      </patternFill>
    </fill>
    <fill>
      <patternFill patternType="solid">
        <fgColor rgb="FFF4CCCC"/>
        <bgColor rgb="FFF4CCCC"/>
      </patternFill>
    </fill>
    <fill>
      <patternFill patternType="solid">
        <fgColor rgb="FFD9EAD3"/>
        <bgColor rgb="FFD9EAD3"/>
      </patternFill>
    </fill>
    <fill>
      <patternFill patternType="solid">
        <fgColor rgb="FFB6D7A8"/>
        <bgColor rgb="FFB6D7A8"/>
      </patternFill>
    </fill>
  </fills>
  <borders count="22">
    <border>
      <left/>
      <right/>
      <top/>
      <bottom/>
      <diagonal/>
    </border>
    <border>
      <left style="thick">
        <color rgb="FF000000"/>
      </left>
      <right style="thick">
        <color rgb="FF000000"/>
      </right>
      <top style="thick">
        <color rgb="FF000000"/>
      </top>
      <bottom/>
      <diagonal/>
    </border>
    <border>
      <left style="thick">
        <color rgb="FF000000"/>
      </left>
      <right style="thick">
        <color rgb="FF000000"/>
      </right>
      <top/>
      <bottom/>
      <diagonal/>
    </border>
    <border>
      <left style="thick">
        <color rgb="FF000000"/>
      </left>
      <right style="thick">
        <color rgb="FF000000"/>
      </right>
      <top/>
      <bottom style="thick">
        <color rgb="FF000000"/>
      </bottom>
      <diagonal/>
    </border>
    <border>
      <left/>
      <right/>
      <top style="thick">
        <color rgb="FF000000"/>
      </top>
      <bottom/>
      <diagonal/>
    </border>
    <border>
      <left/>
      <right style="thick">
        <color rgb="FF000000"/>
      </right>
      <top style="thick">
        <color rgb="FF000000"/>
      </top>
      <bottom/>
      <diagonal/>
    </border>
    <border>
      <left/>
      <right style="thick">
        <color rgb="FF000000"/>
      </right>
      <top/>
      <bottom/>
      <diagonal/>
    </border>
    <border>
      <left/>
      <right/>
      <top/>
      <bottom style="thick">
        <color rgb="FF000000"/>
      </bottom>
      <diagonal/>
    </border>
    <border>
      <left/>
      <right style="thick">
        <color rgb="FF000000"/>
      </right>
      <top/>
      <bottom style="thick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123">
    <xf numFmtId="0" fontId="0" fillId="0" borderId="0" xfId="0"/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1" fontId="2" fillId="3" borderId="0" xfId="0" applyNumberFormat="1" applyFont="1" applyFill="1" applyAlignment="1">
      <alignment horizontal="center"/>
    </xf>
    <xf numFmtId="164" fontId="2" fillId="0" borderId="0" xfId="0" applyNumberFormat="1" applyFont="1" applyAlignment="1">
      <alignment horizontal="center"/>
    </xf>
    <xf numFmtId="164" fontId="2" fillId="3" borderId="0" xfId="0" applyNumberFormat="1" applyFont="1" applyFill="1" applyAlignment="1">
      <alignment horizontal="center"/>
    </xf>
    <xf numFmtId="0" fontId="4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5" fillId="2" borderId="0" xfId="0" applyFont="1" applyFill="1" applyAlignment="1">
      <alignment horizontal="center"/>
    </xf>
    <xf numFmtId="0" fontId="5" fillId="3" borderId="0" xfId="0" applyFont="1" applyFill="1" applyAlignment="1">
      <alignment horizontal="center"/>
    </xf>
    <xf numFmtId="0" fontId="5" fillId="4" borderId="0" xfId="0" applyFont="1" applyFill="1" applyAlignment="1">
      <alignment horizontal="center"/>
    </xf>
    <xf numFmtId="164" fontId="5" fillId="0" borderId="0" xfId="0" applyNumberFormat="1" applyFont="1" applyAlignment="1">
      <alignment horizontal="center"/>
    </xf>
    <xf numFmtId="1" fontId="5" fillId="3" borderId="0" xfId="0" applyNumberFormat="1" applyFont="1" applyFill="1" applyAlignment="1">
      <alignment horizontal="center"/>
    </xf>
    <xf numFmtId="165" fontId="5" fillId="2" borderId="0" xfId="0" applyNumberFormat="1" applyFont="1" applyFill="1" applyAlignment="1">
      <alignment horizontal="center"/>
    </xf>
    <xf numFmtId="1" fontId="5" fillId="0" borderId="0" xfId="0" applyNumberFormat="1" applyFont="1" applyAlignment="1">
      <alignment horizontal="center"/>
    </xf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4" fillId="0" borderId="1" xfId="0" applyFont="1" applyBorder="1" applyAlignment="1">
      <alignment horizontal="center"/>
    </xf>
    <xf numFmtId="164" fontId="5" fillId="3" borderId="0" xfId="0" applyNumberFormat="1" applyFont="1" applyFill="1" applyAlignment="1">
      <alignment horizontal="center"/>
    </xf>
    <xf numFmtId="0" fontId="5" fillId="2" borderId="2" xfId="0" applyFont="1" applyFill="1" applyBorder="1" applyAlignment="1">
      <alignment horizontal="center"/>
    </xf>
    <xf numFmtId="0" fontId="5" fillId="0" borderId="2" xfId="0" applyFont="1" applyBorder="1" applyAlignment="1">
      <alignment horizontal="center"/>
    </xf>
    <xf numFmtId="0" fontId="5" fillId="3" borderId="2" xfId="0" applyFont="1" applyFill="1" applyBorder="1" applyAlignment="1">
      <alignment horizontal="center"/>
    </xf>
    <xf numFmtId="1" fontId="6" fillId="3" borderId="0" xfId="0" applyNumberFormat="1" applyFont="1" applyFill="1" applyAlignment="1">
      <alignment horizontal="center"/>
    </xf>
    <xf numFmtId="1" fontId="6" fillId="0" borderId="0" xfId="0" applyNumberFormat="1" applyFont="1" applyAlignment="1">
      <alignment horizontal="center"/>
    </xf>
    <xf numFmtId="0" fontId="5" fillId="4" borderId="3" xfId="0" applyFont="1" applyFill="1" applyBorder="1" applyAlignment="1">
      <alignment horizontal="center"/>
    </xf>
    <xf numFmtId="164" fontId="5" fillId="4" borderId="0" xfId="0" applyNumberFormat="1" applyFont="1" applyFill="1" applyAlignment="1">
      <alignment horizontal="center"/>
    </xf>
    <xf numFmtId="0" fontId="5" fillId="0" borderId="4" xfId="0" applyFont="1" applyBorder="1" applyAlignment="1">
      <alignment horizontal="center"/>
    </xf>
    <xf numFmtId="1" fontId="5" fillId="0" borderId="4" xfId="0" applyNumberFormat="1" applyFont="1" applyBorder="1" applyAlignment="1">
      <alignment horizontal="center"/>
    </xf>
    <xf numFmtId="1" fontId="5" fillId="0" borderId="5" xfId="0" applyNumberFormat="1" applyFont="1" applyBorder="1" applyAlignment="1">
      <alignment horizontal="center"/>
    </xf>
    <xf numFmtId="1" fontId="5" fillId="0" borderId="6" xfId="0" applyNumberFormat="1" applyFont="1" applyBorder="1" applyAlignment="1">
      <alignment horizontal="center"/>
    </xf>
    <xf numFmtId="2" fontId="5" fillId="0" borderId="0" xfId="0" applyNumberFormat="1" applyFont="1" applyAlignment="1">
      <alignment horizontal="center"/>
    </xf>
    <xf numFmtId="2" fontId="5" fillId="0" borderId="6" xfId="0" applyNumberFormat="1" applyFont="1" applyBorder="1" applyAlignment="1">
      <alignment horizontal="center"/>
    </xf>
    <xf numFmtId="0" fontId="5" fillId="0" borderId="7" xfId="0" applyFont="1" applyBorder="1" applyAlignment="1">
      <alignment horizontal="center"/>
    </xf>
    <xf numFmtId="2" fontId="5" fillId="0" borderId="7" xfId="0" applyNumberFormat="1" applyFont="1" applyBorder="1" applyAlignment="1">
      <alignment horizontal="center"/>
    </xf>
    <xf numFmtId="2" fontId="5" fillId="0" borderId="8" xfId="0" applyNumberFormat="1" applyFont="1" applyBorder="1" applyAlignment="1">
      <alignment horizontal="center"/>
    </xf>
    <xf numFmtId="166" fontId="5" fillId="0" borderId="0" xfId="0" applyNumberFormat="1" applyFont="1" applyAlignment="1">
      <alignment horizontal="center"/>
    </xf>
    <xf numFmtId="0" fontId="2" fillId="0" borderId="0" xfId="0" applyFont="1"/>
    <xf numFmtId="0" fontId="2" fillId="3" borderId="0" xfId="0" applyFont="1" applyFill="1"/>
    <xf numFmtId="0" fontId="2" fillId="5" borderId="0" xfId="0" applyFont="1" applyFill="1"/>
    <xf numFmtId="0" fontId="2" fillId="6" borderId="0" xfId="0" applyFont="1" applyFill="1"/>
    <xf numFmtId="0" fontId="2" fillId="7" borderId="0" xfId="0" applyFont="1" applyFill="1"/>
    <xf numFmtId="0" fontId="2" fillId="8" borderId="0" xfId="0" applyFont="1" applyFill="1"/>
    <xf numFmtId="0" fontId="7" fillId="9" borderId="0" xfId="0" applyFont="1" applyFill="1" applyAlignment="1">
      <alignment wrapText="1"/>
    </xf>
    <xf numFmtId="0" fontId="8" fillId="9" borderId="0" xfId="0" applyFont="1" applyFill="1"/>
    <xf numFmtId="0" fontId="9" fillId="0" borderId="0" xfId="0" applyFont="1"/>
    <xf numFmtId="0" fontId="2" fillId="10" borderId="0" xfId="0" applyFont="1" applyFill="1"/>
    <xf numFmtId="0" fontId="8" fillId="11" borderId="0" xfId="0" applyFont="1" applyFill="1"/>
    <xf numFmtId="0" fontId="2" fillId="11" borderId="0" xfId="0" applyFont="1" applyFill="1"/>
    <xf numFmtId="0" fontId="10" fillId="3" borderId="0" xfId="0" applyFont="1" applyFill="1" applyAlignment="1">
      <alignment horizontal="right"/>
    </xf>
    <xf numFmtId="0" fontId="10" fillId="0" borderId="0" xfId="0" applyFont="1"/>
    <xf numFmtId="0" fontId="10" fillId="5" borderId="0" xfId="0" applyFont="1" applyFill="1" applyAlignment="1">
      <alignment horizontal="right"/>
    </xf>
    <xf numFmtId="0" fontId="11" fillId="3" borderId="0" xfId="0" applyFont="1" applyFill="1" applyAlignment="1">
      <alignment horizontal="right"/>
    </xf>
    <xf numFmtId="0" fontId="10" fillId="6" borderId="0" xfId="0" applyFont="1" applyFill="1" applyAlignment="1">
      <alignment horizontal="right"/>
    </xf>
    <xf numFmtId="0" fontId="2" fillId="9" borderId="0" xfId="0" applyFont="1" applyFill="1"/>
    <xf numFmtId="0" fontId="10" fillId="9" borderId="0" xfId="0" applyFont="1" applyFill="1" applyAlignment="1">
      <alignment horizontal="right"/>
    </xf>
    <xf numFmtId="0" fontId="11" fillId="9" borderId="0" xfId="0" applyFont="1" applyFill="1" applyAlignment="1">
      <alignment horizontal="right"/>
    </xf>
    <xf numFmtId="0" fontId="10" fillId="0" borderId="0" xfId="0" applyFont="1" applyAlignment="1">
      <alignment horizontal="right"/>
    </xf>
    <xf numFmtId="0" fontId="12" fillId="9" borderId="0" xfId="0" applyFont="1" applyFill="1" applyAlignment="1">
      <alignment horizontal="left"/>
    </xf>
    <xf numFmtId="0" fontId="13" fillId="9" borderId="0" xfId="0" applyFont="1" applyFill="1"/>
    <xf numFmtId="0" fontId="13" fillId="5" borderId="0" xfId="0" applyFont="1" applyFill="1"/>
    <xf numFmtId="0" fontId="13" fillId="0" borderId="0" xfId="0" applyFont="1"/>
    <xf numFmtId="0" fontId="14" fillId="9" borderId="0" xfId="0" applyFont="1" applyFill="1"/>
    <xf numFmtId="0" fontId="14" fillId="5" borderId="0" xfId="0" applyFont="1" applyFill="1"/>
    <xf numFmtId="0" fontId="14" fillId="0" borderId="0" xfId="0" applyFont="1"/>
    <xf numFmtId="0" fontId="15" fillId="11" borderId="0" xfId="0" applyFont="1" applyFill="1"/>
    <xf numFmtId="0" fontId="10" fillId="11" borderId="0" xfId="0" applyFont="1" applyFill="1"/>
    <xf numFmtId="0" fontId="10" fillId="11" borderId="0" xfId="0" applyFont="1" applyFill="1" applyAlignment="1">
      <alignment horizontal="right"/>
    </xf>
    <xf numFmtId="0" fontId="16" fillId="12" borderId="0" xfId="0" applyFont="1" applyFill="1" applyAlignment="1">
      <alignment wrapText="1"/>
    </xf>
    <xf numFmtId="0" fontId="11" fillId="0" borderId="0" xfId="0" applyFont="1" applyAlignment="1">
      <alignment horizontal="right"/>
    </xf>
    <xf numFmtId="0" fontId="17" fillId="9" borderId="0" xfId="0" applyFont="1" applyFill="1" applyAlignment="1">
      <alignment wrapText="1"/>
    </xf>
    <xf numFmtId="0" fontId="2" fillId="0" borderId="0" xfId="0" applyFont="1" applyAlignment="1">
      <alignment wrapText="1"/>
    </xf>
    <xf numFmtId="0" fontId="16" fillId="12" borderId="0" xfId="0" applyFont="1" applyFill="1"/>
    <xf numFmtId="0" fontId="18" fillId="9" borderId="0" xfId="0" applyFont="1" applyFill="1"/>
    <xf numFmtId="0" fontId="19" fillId="9" borderId="0" xfId="0" applyFont="1" applyFill="1"/>
    <xf numFmtId="0" fontId="19" fillId="5" borderId="0" xfId="0" applyFont="1" applyFill="1"/>
    <xf numFmtId="0" fontId="19" fillId="0" borderId="0" xfId="0" applyFont="1"/>
    <xf numFmtId="0" fontId="1" fillId="11" borderId="0" xfId="0" applyFont="1" applyFill="1"/>
    <xf numFmtId="0" fontId="2" fillId="13" borderId="0" xfId="0" applyFont="1" applyFill="1"/>
    <xf numFmtId="0" fontId="2" fillId="14" borderId="0" xfId="0" applyFont="1" applyFill="1"/>
    <xf numFmtId="0" fontId="2" fillId="15" borderId="0" xfId="0" applyFont="1" applyFill="1"/>
    <xf numFmtId="0" fontId="12" fillId="9" borderId="0" xfId="0" applyFont="1" applyFill="1" applyAlignment="1">
      <alignment horizontal="right"/>
    </xf>
    <xf numFmtId="164" fontId="2" fillId="0" borderId="0" xfId="0" applyNumberFormat="1" applyFont="1"/>
    <xf numFmtId="0" fontId="12" fillId="10" borderId="0" xfId="0" applyFont="1" applyFill="1" applyAlignment="1">
      <alignment horizontal="left"/>
    </xf>
    <xf numFmtId="0" fontId="2" fillId="0" borderId="9" xfId="0" applyFont="1" applyBorder="1"/>
    <xf numFmtId="0" fontId="2" fillId="0" borderId="10" xfId="0" applyFont="1" applyBorder="1"/>
    <xf numFmtId="0" fontId="2" fillId="0" borderId="9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0" fillId="0" borderId="0" xfId="0" applyFont="1" applyAlignment="1">
      <alignment horizontal="center"/>
    </xf>
    <xf numFmtId="0" fontId="20" fillId="0" borderId="0" xfId="0" applyFont="1"/>
    <xf numFmtId="0" fontId="2" fillId="0" borderId="11" xfId="0" applyFont="1" applyBorder="1"/>
    <xf numFmtId="0" fontId="10" fillId="0" borderId="13" xfId="0" applyFont="1" applyBorder="1"/>
    <xf numFmtId="0" fontId="10" fillId="0" borderId="14" xfId="0" applyFont="1" applyBorder="1"/>
    <xf numFmtId="0" fontId="10" fillId="0" borderId="10" xfId="0" applyFont="1" applyBorder="1"/>
    <xf numFmtId="0" fontId="8" fillId="0" borderId="12" xfId="0" applyFont="1" applyBorder="1"/>
    <xf numFmtId="0" fontId="10" fillId="0" borderId="12" xfId="0" applyFont="1" applyBorder="1"/>
    <xf numFmtId="0" fontId="8" fillId="0" borderId="19" xfId="0" applyFont="1" applyBorder="1"/>
    <xf numFmtId="0" fontId="8" fillId="0" borderId="14" xfId="0" applyFont="1" applyBorder="1" applyAlignment="1">
      <alignment horizontal="center"/>
    </xf>
    <xf numFmtId="0" fontId="10" fillId="0" borderId="9" xfId="0" applyFont="1" applyBorder="1"/>
    <xf numFmtId="0" fontId="10" fillId="0" borderId="20" xfId="0" applyFont="1" applyBorder="1"/>
    <xf numFmtId="0" fontId="10" fillId="0" borderId="21" xfId="0" applyFont="1" applyBorder="1"/>
    <xf numFmtId="0" fontId="16" fillId="0" borderId="20" xfId="0" applyFont="1" applyBorder="1"/>
    <xf numFmtId="0" fontId="10" fillId="0" borderId="11" xfId="0" applyFont="1" applyBorder="1"/>
    <xf numFmtId="0" fontId="10" fillId="0" borderId="15" xfId="0" applyFont="1" applyBorder="1"/>
    <xf numFmtId="0" fontId="10" fillId="0" borderId="21" xfId="0" applyFont="1" applyBorder="1" applyAlignment="1">
      <alignment horizontal="center"/>
    </xf>
    <xf numFmtId="0" fontId="10" fillId="0" borderId="15" xfId="0" applyFont="1" applyBorder="1" applyAlignment="1">
      <alignment horizontal="center"/>
    </xf>
    <xf numFmtId="0" fontId="10" fillId="0" borderId="20" xfId="0" applyFont="1" applyBorder="1" applyAlignment="1">
      <alignment horizontal="center"/>
    </xf>
    <xf numFmtId="0" fontId="8" fillId="0" borderId="14" xfId="0" applyFont="1" applyBorder="1"/>
    <xf numFmtId="164" fontId="2" fillId="0" borderId="0" xfId="0" applyNumberFormat="1" applyFont="1" applyAlignment="1">
      <alignment horizontal="center" vertical="center"/>
    </xf>
    <xf numFmtId="0" fontId="0" fillId="0" borderId="0" xfId="0"/>
    <xf numFmtId="0" fontId="1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0" fontId="21" fillId="0" borderId="12" xfId="0" applyFont="1" applyBorder="1"/>
    <xf numFmtId="0" fontId="22" fillId="0" borderId="13" xfId="0" applyFont="1" applyBorder="1"/>
    <xf numFmtId="0" fontId="8" fillId="0" borderId="15" xfId="0" applyFont="1" applyBorder="1"/>
    <xf numFmtId="0" fontId="22" fillId="0" borderId="15" xfId="0" applyFont="1" applyBorder="1"/>
    <xf numFmtId="0" fontId="8" fillId="0" borderId="16" xfId="0" applyFont="1" applyBorder="1" applyAlignment="1">
      <alignment horizontal="center"/>
    </xf>
    <xf numFmtId="0" fontId="22" fillId="0" borderId="17" xfId="0" applyFont="1" applyBorder="1"/>
    <xf numFmtId="0" fontId="22" fillId="0" borderId="18" xfId="0" applyFont="1" applyBorder="1"/>
    <xf numFmtId="0" fontId="8" fillId="0" borderId="12" xfId="0" applyFont="1" applyBorder="1"/>
    <xf numFmtId="0" fontId="8" fillId="0" borderId="13" xfId="0" applyFont="1" applyBorder="1" applyAlignment="1">
      <alignment horizontal="center"/>
    </xf>
    <xf numFmtId="0" fontId="22" fillId="0" borderId="14" xfId="0" applyFont="1" applyBorder="1"/>
  </cellXfs>
  <cellStyles count="1">
    <cellStyle name="Normal" xfId="0" builtinId="0"/>
  </cellStyles>
  <dxfs count="7">
    <dxf>
      <fill>
        <patternFill patternType="solid">
          <fgColor theme="5"/>
          <bgColor theme="5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theme="5"/>
          <bgColor theme="5"/>
        </patternFill>
      </fill>
    </dxf>
    <dxf>
      <fill>
        <patternFill patternType="solid">
          <fgColor theme="5"/>
          <bgColor theme="5"/>
        </patternFill>
      </fill>
    </dxf>
    <dxf>
      <fill>
        <patternFill patternType="solid">
          <fgColor rgb="FFFEF8E3"/>
          <bgColor rgb="FFFEF8E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7CB4D"/>
          <bgColor rgb="FFF7CB4D"/>
        </patternFill>
      </fill>
    </dxf>
  </dxfs>
  <tableStyles count="1">
    <tableStyle name="Stress concentrations shaft-style" pivot="0" count="3" xr9:uid="{00000000-0011-0000-FFFF-FFFF00000000}">
      <tableStyleElement type="headerRow" dxfId="6"/>
      <tableStyleElement type="firstRowStripe" dxfId="5"/>
      <tableStyleElement type="secondRowStripe" dxfId="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895350</xdr:colOff>
      <xdr:row>0</xdr:row>
      <xdr:rowOff>0</xdr:rowOff>
    </xdr:from>
    <xdr:ext cx="7077075" cy="4514850"/>
    <xdr:pic>
      <xdr:nvPicPr>
        <xdr:cNvPr id="2" name="image1.pn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200025</xdr:rowOff>
    </xdr:from>
    <xdr:ext cx="6696075" cy="4276725"/>
    <xdr:pic>
      <xdr:nvPicPr>
        <xdr:cNvPr id="3" name="image3.pn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895350</xdr:colOff>
      <xdr:row>22</xdr:row>
      <xdr:rowOff>180975</xdr:rowOff>
    </xdr:from>
    <xdr:ext cx="7077075" cy="4343400"/>
    <xdr:pic>
      <xdr:nvPicPr>
        <xdr:cNvPr id="4" name="image6.png" title="Imag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6696075" cy="4600575"/>
    <xdr:pic>
      <xdr:nvPicPr>
        <xdr:cNvPr id="5" name="image5.png" title="Imag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209550</xdr:rowOff>
    </xdr:from>
    <xdr:ext cx="6696075" cy="3571875"/>
    <xdr:pic>
      <xdr:nvPicPr>
        <xdr:cNvPr id="6" name="image2.png" title="Imag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133350</xdr:colOff>
      <xdr:row>16</xdr:row>
      <xdr:rowOff>161925</xdr:rowOff>
    </xdr:from>
    <xdr:ext cx="7439025" cy="3838575"/>
    <xdr:pic>
      <xdr:nvPicPr>
        <xdr:cNvPr id="2" name="image10.pn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190500</xdr:colOff>
      <xdr:row>30</xdr:row>
      <xdr:rowOff>9525</xdr:rowOff>
    </xdr:from>
    <xdr:ext cx="3543300" cy="3810000"/>
    <xdr:pic>
      <xdr:nvPicPr>
        <xdr:cNvPr id="3" name="image8.png" title="Imag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37</xdr:row>
      <xdr:rowOff>114300</xdr:rowOff>
    </xdr:from>
    <xdr:ext cx="7239000" cy="6134100"/>
    <xdr:pic>
      <xdr:nvPicPr>
        <xdr:cNvPr id="4" name="image9.png" title="Imag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69</xdr:row>
      <xdr:rowOff>66675</xdr:rowOff>
    </xdr:from>
    <xdr:ext cx="7086600" cy="2657475"/>
    <xdr:pic>
      <xdr:nvPicPr>
        <xdr:cNvPr id="5" name="image11.png" title="Imag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133350</xdr:rowOff>
    </xdr:from>
    <xdr:ext cx="8496300" cy="5381625"/>
    <xdr:pic>
      <xdr:nvPicPr>
        <xdr:cNvPr id="6" name="image7.png" title="Imag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</xdr:row>
      <xdr:rowOff>0</xdr:rowOff>
    </xdr:from>
    <xdr:ext cx="8439150" cy="5476875"/>
    <xdr:pic>
      <xdr:nvPicPr>
        <xdr:cNvPr id="7" name="image4.png" title="Image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962025</xdr:colOff>
      <xdr:row>4</xdr:row>
      <xdr:rowOff>-409575</xdr:rowOff>
    </xdr:from>
    <xdr:ext cx="7277100" cy="6153150"/>
    <xdr:pic>
      <xdr:nvPicPr>
        <xdr:cNvPr id="2" name="image9.png" title="Imag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904875</xdr:colOff>
      <xdr:row>0</xdr:row>
      <xdr:rowOff>0</xdr:rowOff>
    </xdr:from>
    <xdr:ext cx="12268200" cy="5981700"/>
    <xdr:pic>
      <xdr:nvPicPr>
        <xdr:cNvPr id="2" name="image14.png" title="Imag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6867525" cy="4352925"/>
    <xdr:pic>
      <xdr:nvPicPr>
        <xdr:cNvPr id="3" name="image16.png" title="Imag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66675</xdr:rowOff>
    </xdr:from>
    <xdr:ext cx="8610600" cy="4419600"/>
    <xdr:pic>
      <xdr:nvPicPr>
        <xdr:cNvPr id="4" name="image20.png" title="Imag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85725</xdr:rowOff>
    </xdr:from>
    <xdr:ext cx="7448550" cy="6448425"/>
    <xdr:pic>
      <xdr:nvPicPr>
        <xdr:cNvPr id="5" name="image21.png" title="Imag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133350</xdr:rowOff>
    </xdr:from>
    <xdr:ext cx="8972550" cy="6238875"/>
    <xdr:pic>
      <xdr:nvPicPr>
        <xdr:cNvPr id="6" name="image15.png" title="Imag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143</xdr:row>
      <xdr:rowOff>171450</xdr:rowOff>
    </xdr:from>
    <xdr:ext cx="7886700" cy="6315075"/>
    <xdr:pic>
      <xdr:nvPicPr>
        <xdr:cNvPr id="7" name="image18.png" title="Image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175</xdr:row>
      <xdr:rowOff>85725</xdr:rowOff>
    </xdr:from>
    <xdr:ext cx="5962650" cy="5324475"/>
    <xdr:pic>
      <xdr:nvPicPr>
        <xdr:cNvPr id="8" name="image17.png" title="Image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</xdr:row>
      <xdr:rowOff>0</xdr:rowOff>
    </xdr:from>
    <xdr:ext cx="5133975" cy="6362700"/>
    <xdr:pic>
      <xdr:nvPicPr>
        <xdr:cNvPr id="9" name="image13.png" title="Image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</xdr:row>
      <xdr:rowOff>0</xdr:rowOff>
    </xdr:from>
    <xdr:ext cx="5438775" cy="4914900"/>
    <xdr:pic>
      <xdr:nvPicPr>
        <xdr:cNvPr id="10" name="image12.png" title="Image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258</xdr:row>
      <xdr:rowOff>114300</xdr:rowOff>
    </xdr:from>
    <xdr:ext cx="3543300" cy="3676650"/>
    <xdr:pic>
      <xdr:nvPicPr>
        <xdr:cNvPr id="11" name="image19.png" title="Image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_1" displayName="Table_1" ref="J75:J76" headerRowCount="0">
  <tableColumns count="1">
    <tableColumn id="1" xr3:uid="{00000000-0010-0000-0000-000001000000}" name="Column1"/>
  </tableColumns>
  <tableStyleInfo name="Stress concentrations shaft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F7"/>
  <sheetViews>
    <sheetView tabSelected="1" workbookViewId="0"/>
  </sheetViews>
  <sheetFormatPr defaultColWidth="12.5703125" defaultRowHeight="15.75" customHeight="1"/>
  <cols>
    <col min="1" max="1" width="18.42578125" customWidth="1"/>
  </cols>
  <sheetData>
    <row r="1" spans="1:6">
      <c r="A1" s="1"/>
      <c r="B1" s="1"/>
      <c r="C1" s="1"/>
      <c r="D1" s="1"/>
      <c r="E1" s="1"/>
      <c r="F1" s="1"/>
    </row>
    <row r="2" spans="1:6">
      <c r="A2" s="2"/>
      <c r="B2" s="2"/>
      <c r="C2" s="2"/>
      <c r="D2" s="2"/>
      <c r="E2" s="2"/>
      <c r="F2" s="2"/>
    </row>
    <row r="3" spans="1:6">
      <c r="A3" s="2"/>
      <c r="B3" s="2"/>
      <c r="C3" s="2"/>
      <c r="D3" s="2"/>
      <c r="E3" s="3"/>
      <c r="F3" s="3"/>
    </row>
    <row r="4" spans="1:6">
      <c r="A4" s="2"/>
      <c r="B4" s="2"/>
      <c r="C4" s="2"/>
      <c r="D4" s="2"/>
      <c r="E4" s="2"/>
      <c r="F4" s="2"/>
    </row>
    <row r="5" spans="1:6">
      <c r="A5" s="2"/>
      <c r="B5" s="2"/>
      <c r="C5" s="2"/>
      <c r="D5" s="2"/>
      <c r="E5" s="2"/>
      <c r="F5" s="2"/>
    </row>
    <row r="6" spans="1:6">
      <c r="A6" s="2"/>
      <c r="B6" s="2"/>
      <c r="C6" s="2"/>
      <c r="D6" s="2"/>
      <c r="E6" s="2"/>
      <c r="F6" s="2"/>
    </row>
    <row r="7" spans="1:6">
      <c r="A7" s="2"/>
      <c r="B7" s="2"/>
      <c r="C7" s="2"/>
      <c r="D7" s="2"/>
      <c r="E7" s="2"/>
      <c r="F7" s="2"/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K5"/>
  <sheetViews>
    <sheetView workbookViewId="0"/>
  </sheetViews>
  <sheetFormatPr defaultColWidth="12.5703125" defaultRowHeight="15.75" customHeight="1"/>
  <cols>
    <col min="11" max="11" width="17.85546875" customWidth="1"/>
  </cols>
  <sheetData>
    <row r="1" spans="1:11">
      <c r="A1" s="8" t="s">
        <v>159</v>
      </c>
      <c r="B1" s="8" t="s">
        <v>160</v>
      </c>
      <c r="C1" s="8" t="s">
        <v>161</v>
      </c>
      <c r="D1" s="8" t="s">
        <v>162</v>
      </c>
      <c r="E1" s="8" t="s">
        <v>163</v>
      </c>
      <c r="F1" s="8" t="s">
        <v>164</v>
      </c>
      <c r="G1" s="8" t="s">
        <v>165</v>
      </c>
      <c r="H1" s="8" t="s">
        <v>166</v>
      </c>
      <c r="I1" s="8" t="s">
        <v>167</v>
      </c>
      <c r="J1" s="8" t="s">
        <v>168</v>
      </c>
    </row>
    <row r="2" spans="1:11">
      <c r="A2" s="11">
        <v>28</v>
      </c>
      <c r="B2" s="11">
        <v>20</v>
      </c>
      <c r="C2" s="11">
        <v>37</v>
      </c>
      <c r="D2" s="11">
        <v>21</v>
      </c>
      <c r="E2" s="11">
        <v>21</v>
      </c>
      <c r="F2" s="11">
        <v>32</v>
      </c>
      <c r="G2" s="11">
        <v>32</v>
      </c>
      <c r="H2" s="11">
        <v>32</v>
      </c>
      <c r="I2" s="11">
        <v>24</v>
      </c>
      <c r="J2" s="11">
        <v>17</v>
      </c>
      <c r="K2" s="9" t="s">
        <v>35</v>
      </c>
    </row>
    <row r="3" spans="1:11">
      <c r="A3" s="11">
        <v>40</v>
      </c>
      <c r="B3" s="11">
        <v>37</v>
      </c>
      <c r="C3" s="11">
        <v>56</v>
      </c>
      <c r="D3" s="11">
        <v>51</v>
      </c>
      <c r="E3" s="11">
        <v>21</v>
      </c>
      <c r="F3" s="11">
        <v>34</v>
      </c>
      <c r="G3" s="11">
        <v>32</v>
      </c>
      <c r="H3" s="11">
        <v>49</v>
      </c>
      <c r="I3" s="11">
        <v>27</v>
      </c>
      <c r="J3" s="11">
        <v>31</v>
      </c>
      <c r="K3" s="9" t="s">
        <v>39</v>
      </c>
    </row>
    <row r="4" spans="1:11">
      <c r="A4" s="11">
        <v>8</v>
      </c>
      <c r="B4" s="11">
        <v>12</v>
      </c>
      <c r="C4" s="11">
        <v>12</v>
      </c>
      <c r="D4" s="11">
        <v>12</v>
      </c>
      <c r="E4" s="11">
        <v>12</v>
      </c>
      <c r="F4" s="11">
        <v>12</v>
      </c>
      <c r="G4" s="11">
        <v>12</v>
      </c>
      <c r="H4" s="11">
        <v>12</v>
      </c>
      <c r="I4" s="11">
        <v>8</v>
      </c>
      <c r="J4" s="11">
        <v>10</v>
      </c>
      <c r="K4" s="9" t="s">
        <v>391</v>
      </c>
    </row>
    <row r="5" spans="1:11">
      <c r="A5" s="38">
        <f t="shared" ref="A5:J5" si="0">1.5708*A4</f>
        <v>12.5664</v>
      </c>
      <c r="B5" s="38">
        <f t="shared" si="0"/>
        <v>18.849599999999999</v>
      </c>
      <c r="C5" s="38">
        <f t="shared" si="0"/>
        <v>18.849599999999999</v>
      </c>
      <c r="D5" s="38">
        <f t="shared" si="0"/>
        <v>18.849599999999999</v>
      </c>
      <c r="E5" s="38">
        <f t="shared" si="0"/>
        <v>18.849599999999999</v>
      </c>
      <c r="F5" s="38">
        <f t="shared" si="0"/>
        <v>18.849599999999999</v>
      </c>
      <c r="G5" s="38">
        <f t="shared" si="0"/>
        <v>18.849599999999999</v>
      </c>
      <c r="H5" s="38">
        <f t="shared" si="0"/>
        <v>18.849599999999999</v>
      </c>
      <c r="I5" s="38">
        <f t="shared" si="0"/>
        <v>12.5664</v>
      </c>
      <c r="J5" s="38">
        <f t="shared" si="0"/>
        <v>15.708</v>
      </c>
      <c r="K5" s="9" t="s">
        <v>392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"/>
  <sheetViews>
    <sheetView workbookViewId="0"/>
  </sheetViews>
  <sheetFormatPr defaultColWidth="12.5703125" defaultRowHeight="15.75" customHeight="1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AA1000"/>
  <sheetViews>
    <sheetView workbookViewId="0"/>
  </sheetViews>
  <sheetFormatPr defaultColWidth="12.5703125" defaultRowHeight="15.75" customHeight="1"/>
  <cols>
    <col min="1" max="1" width="17.7109375" customWidth="1"/>
  </cols>
  <sheetData>
    <row r="1" spans="1:27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5</v>
      </c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>
      <c r="A2" s="2" t="s">
        <v>6</v>
      </c>
      <c r="B2" s="4">
        <v>74.099999999999994</v>
      </c>
      <c r="C2" s="4">
        <v>8500</v>
      </c>
      <c r="D2" s="5">
        <v>8500</v>
      </c>
      <c r="E2" s="6">
        <f t="shared" ref="E2:E7" si="0">B2*D2/63025</f>
        <v>9.9936533121777078</v>
      </c>
      <c r="F2" s="109">
        <f>SUM(E3,E2)</f>
        <v>74.995636652122187</v>
      </c>
      <c r="G2" s="109">
        <f>SUM(F4,F2)</f>
        <v>150.04934549781834</v>
      </c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</row>
    <row r="3" spans="1:27">
      <c r="A3" s="2" t="s">
        <v>7</v>
      </c>
      <c r="B3" s="4">
        <v>1170.5</v>
      </c>
      <c r="C3" s="4">
        <v>3500</v>
      </c>
      <c r="D3" s="5">
        <v>3500</v>
      </c>
      <c r="E3" s="6">
        <f t="shared" si="0"/>
        <v>65.001983339944474</v>
      </c>
      <c r="F3" s="110"/>
      <c r="G3" s="110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</row>
    <row r="4" spans="1:27">
      <c r="A4" s="2" t="s">
        <v>8</v>
      </c>
      <c r="B4" s="4">
        <v>602.9</v>
      </c>
      <c r="C4" s="4">
        <v>6795</v>
      </c>
      <c r="D4" s="5">
        <v>6800</v>
      </c>
      <c r="E4" s="6">
        <f t="shared" si="0"/>
        <v>65.049107497024991</v>
      </c>
      <c r="F4" s="109">
        <f>SUM(E5,E4)</f>
        <v>75.05370884569615</v>
      </c>
      <c r="G4" s="110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</row>
    <row r="5" spans="1:27">
      <c r="A5" s="2" t="s">
        <v>9</v>
      </c>
      <c r="B5" s="4">
        <v>45.2</v>
      </c>
      <c r="C5" s="4">
        <v>13950</v>
      </c>
      <c r="D5" s="5">
        <v>13950</v>
      </c>
      <c r="E5" s="6">
        <f t="shared" si="0"/>
        <v>10.004601348671162</v>
      </c>
      <c r="F5" s="110"/>
      <c r="G5" s="110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</row>
    <row r="6" spans="1:27">
      <c r="A6" s="2" t="s">
        <v>10</v>
      </c>
      <c r="B6" s="4">
        <v>964.7</v>
      </c>
      <c r="C6" s="4">
        <v>9800</v>
      </c>
      <c r="D6" s="5">
        <v>9800</v>
      </c>
      <c r="E6" s="6">
        <f t="shared" si="0"/>
        <v>150.00491868306227</v>
      </c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</row>
    <row r="7" spans="1:27">
      <c r="A7" s="2" t="s">
        <v>11</v>
      </c>
      <c r="B7" s="4">
        <v>675.3</v>
      </c>
      <c r="C7" s="4">
        <v>14000</v>
      </c>
      <c r="D7" s="5">
        <v>13950</v>
      </c>
      <c r="E7" s="6">
        <f t="shared" si="0"/>
        <v>149.4714002380008</v>
      </c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</row>
    <row r="8" spans="1:27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</row>
    <row r="9" spans="1:27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</row>
    <row r="10" spans="1:27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</row>
    <row r="11" spans="1:27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</row>
    <row r="12" spans="1:27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</row>
    <row r="13" spans="1:27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</row>
    <row r="14" spans="1:27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</row>
    <row r="15" spans="1:27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</row>
    <row r="16" spans="1:27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</row>
    <row r="17" spans="1:27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</row>
    <row r="18" spans="1:27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</row>
    <row r="19" spans="1:27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</row>
    <row r="20" spans="1:27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</row>
    <row r="21" spans="1:27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</row>
    <row r="22" spans="1:27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</row>
    <row r="23" spans="1:27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</row>
    <row r="24" spans="1:27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</row>
    <row r="25" spans="1:27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</row>
    <row r="26" spans="1:27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</row>
    <row r="27" spans="1:27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</row>
    <row r="28" spans="1:27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</row>
    <row r="29" spans="1:27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</row>
    <row r="30" spans="1:27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</row>
    <row r="31" spans="1:27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</row>
    <row r="32" spans="1:27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</row>
    <row r="33" spans="1:27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</row>
    <row r="34" spans="1:27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</row>
    <row r="35" spans="1:27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</row>
    <row r="36" spans="1:27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</row>
    <row r="37" spans="1:27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</row>
    <row r="38" spans="1:27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</row>
    <row r="39" spans="1:27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</row>
    <row r="40" spans="1:27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</row>
    <row r="41" spans="1:27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</row>
    <row r="42" spans="1:27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</row>
    <row r="43" spans="1:27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</row>
    <row r="44" spans="1:27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</row>
    <row r="45" spans="1:27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</row>
    <row r="46" spans="1:27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</row>
    <row r="47" spans="1:27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</row>
    <row r="48" spans="1:27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</row>
    <row r="49" spans="1:27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</row>
    <row r="50" spans="1:27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</row>
    <row r="51" spans="1:27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</row>
    <row r="52" spans="1:27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</row>
    <row r="53" spans="1:27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</row>
    <row r="54" spans="1:27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</row>
    <row r="55" spans="1:27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</row>
    <row r="56" spans="1:27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</row>
    <row r="57" spans="1:27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</row>
    <row r="58" spans="1:27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</row>
    <row r="59" spans="1:27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</row>
    <row r="60" spans="1:27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</row>
    <row r="61" spans="1:27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</row>
    <row r="62" spans="1:27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</row>
    <row r="63" spans="1:27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</row>
    <row r="64" spans="1:27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</row>
    <row r="65" spans="1:27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</row>
    <row r="66" spans="1:27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</row>
    <row r="67" spans="1:27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</row>
    <row r="68" spans="1:27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</row>
    <row r="69" spans="1:27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</row>
    <row r="70" spans="1:27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</row>
    <row r="71" spans="1:27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</row>
    <row r="72" spans="1:27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</row>
    <row r="73" spans="1:27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</row>
    <row r="74" spans="1:27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</row>
    <row r="75" spans="1:27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</row>
    <row r="76" spans="1:27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</row>
    <row r="77" spans="1:27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</row>
    <row r="78" spans="1:27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</row>
    <row r="79" spans="1:27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</row>
    <row r="80" spans="1:27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</row>
    <row r="81" spans="1:27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</row>
    <row r="82" spans="1:27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</row>
    <row r="83" spans="1:27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</row>
    <row r="84" spans="1:27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</row>
    <row r="85" spans="1:27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</row>
    <row r="86" spans="1:27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</row>
    <row r="87" spans="1:27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</row>
    <row r="88" spans="1:27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</row>
    <row r="89" spans="1:27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</row>
    <row r="90" spans="1:27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</row>
    <row r="91" spans="1:27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</row>
    <row r="92" spans="1:27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</row>
    <row r="93" spans="1:27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</row>
    <row r="94" spans="1:27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</row>
    <row r="95" spans="1:27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</row>
    <row r="96" spans="1:27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</row>
    <row r="97" spans="1:27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</row>
    <row r="98" spans="1:27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</row>
    <row r="99" spans="1:27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</row>
    <row r="100" spans="1:27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</row>
    <row r="101" spans="1:27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</row>
    <row r="102" spans="1:27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</row>
    <row r="103" spans="1:27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</row>
    <row r="104" spans="1:27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</row>
    <row r="105" spans="1:27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</row>
    <row r="106" spans="1:27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</row>
    <row r="107" spans="1:27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</row>
    <row r="108" spans="1:27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</row>
    <row r="109" spans="1:27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</row>
    <row r="110" spans="1:27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</row>
    <row r="111" spans="1:27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</row>
    <row r="112" spans="1:27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</row>
    <row r="113" spans="1:27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</row>
    <row r="114" spans="1:27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</row>
    <row r="115" spans="1:27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</row>
    <row r="116" spans="1:27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</row>
    <row r="117" spans="1:27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</row>
    <row r="118" spans="1:27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</row>
    <row r="119" spans="1:27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</row>
    <row r="120" spans="1:27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</row>
    <row r="121" spans="1:27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</row>
    <row r="122" spans="1:27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</row>
    <row r="123" spans="1:27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</row>
    <row r="124" spans="1:27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</row>
    <row r="125" spans="1:27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</row>
    <row r="126" spans="1:27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</row>
    <row r="127" spans="1:27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</row>
    <row r="128" spans="1:27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</row>
    <row r="129" spans="1:27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</row>
    <row r="130" spans="1:27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</row>
    <row r="131" spans="1:27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</row>
    <row r="132" spans="1:27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</row>
    <row r="133" spans="1:27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</row>
    <row r="134" spans="1:27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</row>
    <row r="135" spans="1:27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</row>
    <row r="136" spans="1:27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</row>
    <row r="137" spans="1:27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</row>
    <row r="138" spans="1:27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</row>
    <row r="139" spans="1:27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</row>
    <row r="140" spans="1:27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</row>
    <row r="141" spans="1:27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</row>
    <row r="142" spans="1:27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</row>
    <row r="143" spans="1:27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</row>
    <row r="144" spans="1:27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</row>
    <row r="145" spans="1:27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</row>
    <row r="146" spans="1:27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</row>
    <row r="147" spans="1:27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</row>
    <row r="148" spans="1:27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</row>
    <row r="149" spans="1:27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</row>
    <row r="150" spans="1:27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</row>
    <row r="151" spans="1:27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</row>
    <row r="152" spans="1:27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</row>
    <row r="153" spans="1:27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</row>
    <row r="154" spans="1:27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</row>
    <row r="155" spans="1:27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</row>
    <row r="156" spans="1:27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</row>
    <row r="157" spans="1:27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</row>
    <row r="158" spans="1:27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</row>
    <row r="159" spans="1:27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</row>
    <row r="160" spans="1:27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</row>
    <row r="161" spans="1:27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</row>
    <row r="162" spans="1:27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</row>
    <row r="163" spans="1:27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</row>
    <row r="164" spans="1:27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</row>
    <row r="165" spans="1:27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</row>
    <row r="166" spans="1:27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</row>
    <row r="167" spans="1:27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</row>
    <row r="168" spans="1:27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</row>
    <row r="169" spans="1:27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</row>
    <row r="170" spans="1:27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</row>
    <row r="171" spans="1:27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</row>
    <row r="172" spans="1:27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</row>
    <row r="173" spans="1:27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</row>
    <row r="174" spans="1:27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</row>
    <row r="175" spans="1:27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</row>
    <row r="176" spans="1:27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</row>
    <row r="177" spans="1:27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</row>
    <row r="178" spans="1:27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</row>
    <row r="179" spans="1:27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</row>
    <row r="180" spans="1:27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</row>
    <row r="181" spans="1:27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</row>
    <row r="182" spans="1:27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</row>
    <row r="183" spans="1:27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</row>
    <row r="184" spans="1:27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</row>
    <row r="185" spans="1:27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</row>
    <row r="186" spans="1:27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</row>
    <row r="187" spans="1:27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</row>
    <row r="188" spans="1:27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</row>
    <row r="189" spans="1:27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</row>
    <row r="190" spans="1:27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</row>
    <row r="191" spans="1:27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</row>
    <row r="192" spans="1:27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</row>
    <row r="193" spans="1:27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</row>
    <row r="194" spans="1:27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</row>
    <row r="195" spans="1:27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</row>
    <row r="196" spans="1:27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</row>
    <row r="197" spans="1:27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</row>
    <row r="198" spans="1:27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</row>
    <row r="199" spans="1:27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</row>
    <row r="200" spans="1:27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</row>
    <row r="201" spans="1:27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</row>
    <row r="202" spans="1:27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</row>
    <row r="203" spans="1:27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</row>
    <row r="204" spans="1:27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</row>
    <row r="205" spans="1:27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</row>
    <row r="206" spans="1:27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</row>
    <row r="207" spans="1:27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</row>
    <row r="208" spans="1:27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</row>
    <row r="209" spans="1:27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</row>
    <row r="210" spans="1:27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</row>
    <row r="211" spans="1:27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</row>
    <row r="212" spans="1:27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</row>
    <row r="213" spans="1:27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</row>
    <row r="214" spans="1:27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</row>
    <row r="215" spans="1:27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</row>
    <row r="216" spans="1:27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</row>
    <row r="217" spans="1:27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</row>
    <row r="218" spans="1:27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</row>
    <row r="219" spans="1:27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</row>
    <row r="220" spans="1:27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</row>
    <row r="221" spans="1:27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</row>
    <row r="222" spans="1:27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</row>
    <row r="223" spans="1:27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</row>
    <row r="224" spans="1:27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</row>
    <row r="225" spans="1:27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</row>
    <row r="226" spans="1:27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</row>
    <row r="227" spans="1:27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</row>
    <row r="228" spans="1:27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</row>
    <row r="229" spans="1:27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</row>
    <row r="230" spans="1:27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</row>
    <row r="231" spans="1:27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</row>
    <row r="232" spans="1:27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</row>
    <row r="233" spans="1:27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</row>
    <row r="234" spans="1:27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</row>
    <row r="235" spans="1:27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</row>
    <row r="236" spans="1:27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</row>
    <row r="237" spans="1:27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</row>
    <row r="238" spans="1:27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</row>
    <row r="239" spans="1:27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</row>
    <row r="240" spans="1:27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</row>
    <row r="241" spans="1:27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</row>
    <row r="242" spans="1:27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</row>
    <row r="243" spans="1:27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</row>
    <row r="244" spans="1:27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</row>
    <row r="245" spans="1:27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</row>
    <row r="246" spans="1:27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</row>
    <row r="247" spans="1:27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</row>
    <row r="248" spans="1:27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</row>
    <row r="249" spans="1:27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</row>
    <row r="250" spans="1:27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</row>
    <row r="251" spans="1:27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</row>
    <row r="252" spans="1:27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</row>
    <row r="253" spans="1:27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</row>
    <row r="254" spans="1:27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</row>
    <row r="255" spans="1:27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</row>
    <row r="256" spans="1:27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</row>
    <row r="257" spans="1:27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</row>
    <row r="258" spans="1:27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</row>
    <row r="259" spans="1:27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</row>
    <row r="260" spans="1:27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</row>
    <row r="261" spans="1:27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</row>
    <row r="262" spans="1:27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</row>
    <row r="263" spans="1:27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</row>
    <row r="264" spans="1:27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</row>
    <row r="265" spans="1:27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</row>
    <row r="266" spans="1:27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</row>
    <row r="267" spans="1:27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</row>
    <row r="268" spans="1:27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</row>
    <row r="269" spans="1:27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</row>
    <row r="270" spans="1:27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</row>
    <row r="271" spans="1:27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</row>
    <row r="272" spans="1:27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</row>
    <row r="273" spans="1:27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</row>
    <row r="274" spans="1:27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</row>
    <row r="275" spans="1:27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</row>
    <row r="276" spans="1:27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</row>
    <row r="277" spans="1:27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</row>
    <row r="278" spans="1:27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</row>
    <row r="279" spans="1:27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</row>
    <row r="280" spans="1:27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</row>
    <row r="281" spans="1:27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</row>
    <row r="282" spans="1:27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</row>
    <row r="283" spans="1:27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</row>
    <row r="284" spans="1:27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</row>
    <row r="285" spans="1:27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</row>
    <row r="286" spans="1:27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</row>
    <row r="287" spans="1:27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</row>
    <row r="288" spans="1:27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</row>
    <row r="289" spans="1:27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</row>
    <row r="290" spans="1:27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</row>
    <row r="291" spans="1:27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</row>
    <row r="292" spans="1:27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</row>
    <row r="293" spans="1:27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</row>
    <row r="294" spans="1:27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</row>
    <row r="295" spans="1:27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</row>
    <row r="296" spans="1:27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</row>
    <row r="297" spans="1:27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</row>
    <row r="298" spans="1:27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</row>
    <row r="299" spans="1:27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</row>
    <row r="300" spans="1:27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</row>
    <row r="301" spans="1:27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</row>
    <row r="302" spans="1:27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</row>
    <row r="303" spans="1:27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</row>
    <row r="304" spans="1:27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</row>
    <row r="305" spans="1:27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</row>
    <row r="306" spans="1:27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</row>
    <row r="307" spans="1:27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</row>
    <row r="308" spans="1:27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</row>
    <row r="309" spans="1:27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</row>
    <row r="310" spans="1:27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</row>
    <row r="311" spans="1:27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</row>
    <row r="312" spans="1:27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</row>
    <row r="313" spans="1:27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</row>
    <row r="314" spans="1:27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</row>
    <row r="315" spans="1:27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</row>
    <row r="316" spans="1:27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</row>
    <row r="317" spans="1:27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</row>
    <row r="318" spans="1:27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</row>
    <row r="319" spans="1:27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</row>
    <row r="320" spans="1:27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</row>
    <row r="321" spans="1:27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</row>
    <row r="322" spans="1:27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</row>
    <row r="323" spans="1:27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</row>
    <row r="324" spans="1:27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</row>
    <row r="325" spans="1:27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</row>
    <row r="326" spans="1:27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</row>
    <row r="327" spans="1:27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</row>
    <row r="328" spans="1:27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</row>
    <row r="329" spans="1:27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</row>
    <row r="330" spans="1:27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</row>
    <row r="331" spans="1:27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</row>
    <row r="332" spans="1:27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</row>
    <row r="333" spans="1:27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</row>
    <row r="334" spans="1:27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</row>
    <row r="335" spans="1:27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</row>
    <row r="336" spans="1:27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</row>
    <row r="337" spans="1:27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</row>
    <row r="338" spans="1:27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</row>
    <row r="339" spans="1:27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</row>
    <row r="340" spans="1:27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</row>
    <row r="341" spans="1:27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</row>
    <row r="342" spans="1:27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</row>
    <row r="343" spans="1:27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</row>
    <row r="344" spans="1:27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</row>
    <row r="345" spans="1:27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</row>
    <row r="346" spans="1:27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</row>
    <row r="347" spans="1:27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</row>
    <row r="348" spans="1:27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</row>
    <row r="349" spans="1:27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</row>
    <row r="350" spans="1:27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</row>
    <row r="351" spans="1:27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</row>
    <row r="352" spans="1:27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</row>
    <row r="353" spans="1:27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</row>
    <row r="354" spans="1:27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</row>
    <row r="355" spans="1:27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</row>
    <row r="356" spans="1:27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</row>
    <row r="357" spans="1:27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</row>
    <row r="358" spans="1:27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</row>
    <row r="359" spans="1:27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</row>
    <row r="360" spans="1:27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</row>
    <row r="361" spans="1:27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</row>
    <row r="362" spans="1:27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</row>
    <row r="363" spans="1:27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</row>
    <row r="364" spans="1:27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</row>
    <row r="365" spans="1:27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</row>
    <row r="366" spans="1:27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</row>
    <row r="367" spans="1:27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</row>
    <row r="368" spans="1:27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</row>
    <row r="369" spans="1:27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</row>
    <row r="370" spans="1:27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</row>
    <row r="371" spans="1:27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</row>
    <row r="372" spans="1:27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</row>
    <row r="373" spans="1:27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</row>
    <row r="374" spans="1:27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</row>
    <row r="375" spans="1:27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</row>
    <row r="376" spans="1:27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</row>
    <row r="377" spans="1:27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</row>
    <row r="378" spans="1:27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</row>
    <row r="379" spans="1:27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</row>
    <row r="380" spans="1:27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</row>
    <row r="381" spans="1:27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</row>
    <row r="382" spans="1:27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</row>
    <row r="383" spans="1:27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</row>
    <row r="384" spans="1:27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</row>
    <row r="385" spans="1:27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</row>
    <row r="386" spans="1:27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</row>
    <row r="387" spans="1:27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</row>
    <row r="388" spans="1:27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</row>
    <row r="389" spans="1:27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</row>
    <row r="390" spans="1:27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</row>
    <row r="391" spans="1:27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</row>
    <row r="392" spans="1:27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</row>
    <row r="393" spans="1:27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</row>
    <row r="394" spans="1:27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</row>
    <row r="395" spans="1:27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</row>
    <row r="396" spans="1:27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</row>
    <row r="397" spans="1:27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</row>
    <row r="398" spans="1:27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</row>
    <row r="399" spans="1:27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</row>
    <row r="400" spans="1:27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</row>
    <row r="401" spans="1:27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</row>
    <row r="402" spans="1:27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</row>
    <row r="403" spans="1:27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</row>
    <row r="404" spans="1:27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</row>
    <row r="405" spans="1:27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</row>
    <row r="406" spans="1:27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</row>
    <row r="407" spans="1:27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</row>
    <row r="408" spans="1:27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</row>
    <row r="409" spans="1:27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</row>
    <row r="410" spans="1:27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</row>
    <row r="411" spans="1:27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</row>
    <row r="412" spans="1:27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</row>
    <row r="413" spans="1:27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</row>
    <row r="414" spans="1:27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</row>
    <row r="415" spans="1:27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</row>
    <row r="416" spans="1:27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</row>
    <row r="417" spans="1:27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</row>
    <row r="418" spans="1:27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</row>
    <row r="419" spans="1:27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</row>
    <row r="420" spans="1:27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</row>
    <row r="421" spans="1:27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</row>
    <row r="422" spans="1:27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</row>
    <row r="423" spans="1:27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</row>
    <row r="424" spans="1:27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</row>
    <row r="425" spans="1:27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</row>
    <row r="426" spans="1:27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</row>
    <row r="427" spans="1:27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</row>
    <row r="428" spans="1:27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</row>
    <row r="429" spans="1:27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</row>
    <row r="430" spans="1:27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</row>
    <row r="431" spans="1:27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</row>
    <row r="432" spans="1:27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</row>
    <row r="433" spans="1:27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</row>
    <row r="434" spans="1:27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</row>
    <row r="435" spans="1:27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</row>
    <row r="436" spans="1:27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</row>
    <row r="437" spans="1:27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</row>
    <row r="438" spans="1:27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</row>
    <row r="439" spans="1:27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</row>
    <row r="440" spans="1:27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</row>
    <row r="441" spans="1:27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</row>
    <row r="442" spans="1:27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</row>
    <row r="443" spans="1:27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</row>
    <row r="444" spans="1:27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</row>
    <row r="445" spans="1:27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</row>
    <row r="446" spans="1:27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</row>
    <row r="447" spans="1:27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</row>
    <row r="448" spans="1:27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</row>
    <row r="449" spans="1:27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</row>
    <row r="450" spans="1:27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</row>
    <row r="451" spans="1:27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</row>
    <row r="452" spans="1:27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</row>
    <row r="453" spans="1:27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</row>
    <row r="454" spans="1:27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</row>
    <row r="455" spans="1:27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</row>
    <row r="456" spans="1:27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</row>
    <row r="457" spans="1:27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</row>
    <row r="458" spans="1:27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</row>
    <row r="459" spans="1:27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</row>
    <row r="460" spans="1:27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</row>
    <row r="461" spans="1:27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</row>
    <row r="462" spans="1:27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</row>
    <row r="463" spans="1:27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</row>
    <row r="464" spans="1:27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</row>
    <row r="465" spans="1:27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</row>
    <row r="466" spans="1:27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</row>
    <row r="467" spans="1:27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</row>
    <row r="468" spans="1:27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</row>
    <row r="469" spans="1:27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</row>
    <row r="470" spans="1:27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</row>
    <row r="471" spans="1:27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</row>
    <row r="472" spans="1:27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</row>
    <row r="473" spans="1:27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</row>
    <row r="474" spans="1:27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</row>
    <row r="475" spans="1:27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</row>
    <row r="476" spans="1:27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</row>
    <row r="477" spans="1:27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</row>
    <row r="478" spans="1:27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</row>
    <row r="479" spans="1:27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</row>
    <row r="480" spans="1:27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</row>
    <row r="481" spans="1:27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</row>
    <row r="482" spans="1:27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</row>
    <row r="483" spans="1:27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</row>
    <row r="484" spans="1:27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</row>
    <row r="485" spans="1:27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</row>
    <row r="486" spans="1:27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</row>
    <row r="487" spans="1:27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</row>
    <row r="488" spans="1:27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</row>
    <row r="489" spans="1:27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</row>
    <row r="490" spans="1:27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</row>
    <row r="491" spans="1:27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</row>
    <row r="492" spans="1:27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</row>
    <row r="493" spans="1:27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</row>
    <row r="494" spans="1:27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</row>
    <row r="495" spans="1:27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</row>
    <row r="496" spans="1:27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</row>
    <row r="497" spans="1:27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</row>
    <row r="498" spans="1:27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</row>
    <row r="499" spans="1:27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</row>
    <row r="500" spans="1:27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</row>
    <row r="501" spans="1:27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</row>
    <row r="502" spans="1:27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</row>
    <row r="503" spans="1:27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</row>
    <row r="504" spans="1:27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</row>
    <row r="505" spans="1:27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</row>
    <row r="506" spans="1:27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</row>
    <row r="507" spans="1:27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</row>
    <row r="508" spans="1:27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</row>
    <row r="509" spans="1:27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</row>
    <row r="510" spans="1:27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</row>
    <row r="511" spans="1:27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</row>
    <row r="512" spans="1:27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</row>
    <row r="513" spans="1:27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</row>
    <row r="514" spans="1:27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</row>
    <row r="515" spans="1:27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</row>
    <row r="516" spans="1:27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</row>
    <row r="517" spans="1:27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</row>
    <row r="518" spans="1:27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</row>
    <row r="519" spans="1:27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</row>
    <row r="520" spans="1:27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</row>
    <row r="521" spans="1:27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</row>
    <row r="522" spans="1:27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</row>
    <row r="523" spans="1:27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</row>
    <row r="524" spans="1:27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</row>
    <row r="525" spans="1:27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</row>
    <row r="526" spans="1:27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</row>
    <row r="527" spans="1:27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</row>
    <row r="528" spans="1:27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</row>
    <row r="529" spans="1:27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</row>
    <row r="530" spans="1:27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</row>
    <row r="531" spans="1:27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</row>
    <row r="532" spans="1:27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</row>
    <row r="533" spans="1:27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</row>
    <row r="534" spans="1:27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</row>
    <row r="535" spans="1:27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</row>
    <row r="536" spans="1:27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</row>
    <row r="537" spans="1:27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</row>
    <row r="538" spans="1:27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</row>
    <row r="539" spans="1:27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</row>
    <row r="540" spans="1:27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</row>
    <row r="541" spans="1:27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</row>
    <row r="542" spans="1:27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</row>
    <row r="543" spans="1:27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</row>
    <row r="544" spans="1:27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</row>
    <row r="545" spans="1:27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</row>
    <row r="546" spans="1:27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</row>
    <row r="547" spans="1:27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</row>
    <row r="548" spans="1:27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</row>
    <row r="549" spans="1:27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</row>
    <row r="550" spans="1:27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</row>
    <row r="551" spans="1:27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</row>
    <row r="552" spans="1:27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</row>
    <row r="553" spans="1:27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</row>
    <row r="554" spans="1:27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</row>
    <row r="555" spans="1:27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</row>
    <row r="556" spans="1:27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</row>
    <row r="557" spans="1:27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</row>
    <row r="558" spans="1:27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</row>
    <row r="559" spans="1:27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</row>
    <row r="560" spans="1:27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</row>
    <row r="561" spans="1:27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</row>
    <row r="562" spans="1:27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</row>
    <row r="563" spans="1:27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</row>
    <row r="564" spans="1:27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</row>
    <row r="565" spans="1:27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</row>
    <row r="566" spans="1:27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</row>
    <row r="567" spans="1:27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</row>
    <row r="568" spans="1:27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</row>
    <row r="569" spans="1:27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</row>
    <row r="570" spans="1:27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</row>
    <row r="571" spans="1:27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</row>
    <row r="572" spans="1:27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</row>
    <row r="573" spans="1:27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</row>
    <row r="574" spans="1:27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</row>
    <row r="575" spans="1:27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</row>
    <row r="576" spans="1:27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</row>
    <row r="577" spans="1:27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</row>
    <row r="578" spans="1:27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</row>
    <row r="579" spans="1:27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</row>
    <row r="580" spans="1:27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</row>
    <row r="581" spans="1:27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</row>
    <row r="582" spans="1:27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</row>
    <row r="583" spans="1:27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</row>
    <row r="584" spans="1:27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</row>
    <row r="585" spans="1:27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</row>
    <row r="586" spans="1:27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</row>
    <row r="587" spans="1:27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</row>
    <row r="588" spans="1:27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</row>
    <row r="589" spans="1:27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</row>
    <row r="590" spans="1:27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</row>
    <row r="591" spans="1:27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</row>
    <row r="592" spans="1:27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</row>
    <row r="593" spans="1:27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</row>
    <row r="594" spans="1:27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</row>
    <row r="595" spans="1:27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</row>
    <row r="596" spans="1:27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</row>
    <row r="597" spans="1:27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</row>
    <row r="598" spans="1:27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</row>
    <row r="599" spans="1:27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</row>
    <row r="600" spans="1:27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</row>
    <row r="601" spans="1:27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</row>
    <row r="602" spans="1:27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</row>
    <row r="603" spans="1:27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</row>
    <row r="604" spans="1:27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</row>
    <row r="605" spans="1:27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</row>
    <row r="606" spans="1:27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</row>
    <row r="607" spans="1:27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</row>
    <row r="608" spans="1:27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</row>
    <row r="609" spans="1:27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</row>
    <row r="610" spans="1:27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</row>
    <row r="611" spans="1:27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</row>
    <row r="612" spans="1:27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</row>
    <row r="613" spans="1:27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</row>
    <row r="614" spans="1:27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</row>
    <row r="615" spans="1:27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</row>
    <row r="616" spans="1:27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</row>
    <row r="617" spans="1:27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</row>
    <row r="618" spans="1:27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</row>
    <row r="619" spans="1:27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</row>
    <row r="620" spans="1:27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</row>
    <row r="621" spans="1:27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</row>
    <row r="622" spans="1:27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</row>
    <row r="623" spans="1:27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</row>
    <row r="624" spans="1:27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</row>
    <row r="625" spans="1:27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</row>
    <row r="626" spans="1:27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</row>
    <row r="627" spans="1:27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</row>
    <row r="628" spans="1:27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</row>
    <row r="629" spans="1:27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</row>
    <row r="630" spans="1:27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</row>
    <row r="631" spans="1:27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</row>
    <row r="632" spans="1:27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</row>
    <row r="633" spans="1:27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</row>
    <row r="634" spans="1:27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</row>
    <row r="635" spans="1:27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</row>
    <row r="636" spans="1:27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</row>
    <row r="637" spans="1:27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</row>
    <row r="638" spans="1:27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</row>
    <row r="639" spans="1:27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</row>
    <row r="640" spans="1:27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</row>
    <row r="641" spans="1:27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</row>
    <row r="642" spans="1:27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</row>
    <row r="643" spans="1:27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</row>
    <row r="644" spans="1:27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</row>
    <row r="645" spans="1:27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</row>
    <row r="646" spans="1:27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</row>
    <row r="647" spans="1:27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</row>
    <row r="648" spans="1:27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</row>
    <row r="649" spans="1:27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</row>
    <row r="650" spans="1:27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</row>
    <row r="651" spans="1:27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</row>
    <row r="652" spans="1:27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</row>
    <row r="653" spans="1:27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</row>
    <row r="654" spans="1:27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</row>
    <row r="655" spans="1:27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</row>
    <row r="656" spans="1:27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</row>
    <row r="657" spans="1:27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</row>
    <row r="658" spans="1:27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</row>
    <row r="659" spans="1:27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</row>
    <row r="660" spans="1:27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</row>
    <row r="661" spans="1:27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</row>
    <row r="662" spans="1:27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</row>
    <row r="663" spans="1:27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</row>
    <row r="664" spans="1:27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</row>
    <row r="665" spans="1:27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</row>
    <row r="666" spans="1:27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</row>
    <row r="667" spans="1:27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</row>
    <row r="668" spans="1:27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</row>
    <row r="669" spans="1:27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</row>
    <row r="670" spans="1:27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</row>
    <row r="671" spans="1:27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</row>
    <row r="672" spans="1:27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</row>
    <row r="673" spans="1:27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</row>
    <row r="674" spans="1:27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</row>
    <row r="675" spans="1:27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</row>
    <row r="676" spans="1:27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</row>
    <row r="677" spans="1:27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</row>
    <row r="678" spans="1:27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</row>
    <row r="679" spans="1:27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</row>
    <row r="680" spans="1:27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</row>
    <row r="681" spans="1:27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</row>
    <row r="682" spans="1:27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</row>
    <row r="683" spans="1:27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</row>
    <row r="684" spans="1:27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</row>
    <row r="685" spans="1:27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</row>
    <row r="686" spans="1:27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</row>
    <row r="687" spans="1:27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</row>
    <row r="688" spans="1:27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</row>
    <row r="689" spans="1:27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</row>
    <row r="690" spans="1:27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</row>
    <row r="691" spans="1:27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</row>
    <row r="692" spans="1:27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</row>
    <row r="693" spans="1:27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</row>
    <row r="694" spans="1:27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</row>
    <row r="695" spans="1:27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</row>
    <row r="696" spans="1:27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</row>
    <row r="697" spans="1:27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</row>
    <row r="698" spans="1:27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</row>
    <row r="699" spans="1:27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</row>
    <row r="700" spans="1:27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</row>
    <row r="701" spans="1:27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</row>
    <row r="702" spans="1:27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</row>
    <row r="703" spans="1:27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</row>
    <row r="704" spans="1:27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</row>
    <row r="705" spans="1:27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</row>
    <row r="706" spans="1:27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</row>
    <row r="707" spans="1:27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</row>
    <row r="708" spans="1:27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</row>
    <row r="709" spans="1:27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</row>
    <row r="710" spans="1:27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</row>
    <row r="711" spans="1:27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</row>
    <row r="712" spans="1:27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</row>
    <row r="713" spans="1:27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</row>
    <row r="714" spans="1:27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</row>
    <row r="715" spans="1:27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</row>
    <row r="716" spans="1:27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</row>
    <row r="717" spans="1:27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</row>
    <row r="718" spans="1:27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</row>
    <row r="719" spans="1:27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</row>
    <row r="720" spans="1:27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</row>
    <row r="721" spans="1:27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</row>
    <row r="722" spans="1:27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</row>
    <row r="723" spans="1:27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</row>
    <row r="724" spans="1:27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</row>
    <row r="725" spans="1:27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</row>
    <row r="726" spans="1:27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</row>
    <row r="727" spans="1:27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</row>
    <row r="728" spans="1:27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</row>
    <row r="729" spans="1:27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</row>
    <row r="730" spans="1:27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</row>
    <row r="731" spans="1:27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</row>
    <row r="732" spans="1:27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</row>
    <row r="733" spans="1:27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</row>
    <row r="734" spans="1:27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</row>
    <row r="735" spans="1:27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</row>
    <row r="736" spans="1:27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</row>
    <row r="737" spans="1:27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</row>
    <row r="738" spans="1:27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</row>
    <row r="739" spans="1:27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</row>
    <row r="740" spans="1:27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</row>
    <row r="741" spans="1:27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</row>
    <row r="742" spans="1:27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</row>
    <row r="743" spans="1:27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</row>
    <row r="744" spans="1:27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</row>
    <row r="745" spans="1:27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</row>
    <row r="746" spans="1:27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</row>
    <row r="747" spans="1:27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</row>
    <row r="748" spans="1:27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</row>
    <row r="749" spans="1:27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</row>
    <row r="750" spans="1:27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</row>
    <row r="751" spans="1:27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</row>
    <row r="752" spans="1:27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</row>
    <row r="753" spans="1:27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</row>
    <row r="754" spans="1:27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</row>
    <row r="755" spans="1:27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</row>
    <row r="756" spans="1:27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</row>
    <row r="757" spans="1:27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</row>
    <row r="758" spans="1:27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</row>
    <row r="759" spans="1:27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</row>
    <row r="760" spans="1:27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</row>
    <row r="761" spans="1:27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</row>
    <row r="762" spans="1:27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</row>
    <row r="763" spans="1:27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</row>
    <row r="764" spans="1:27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</row>
    <row r="765" spans="1:27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</row>
    <row r="766" spans="1:27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</row>
    <row r="767" spans="1:27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</row>
    <row r="768" spans="1:27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</row>
    <row r="769" spans="1:27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</row>
    <row r="770" spans="1:27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</row>
    <row r="771" spans="1:27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</row>
    <row r="772" spans="1:27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</row>
    <row r="773" spans="1:27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</row>
    <row r="774" spans="1:27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</row>
    <row r="775" spans="1:27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</row>
    <row r="776" spans="1:27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</row>
    <row r="777" spans="1:27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</row>
    <row r="778" spans="1:27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</row>
    <row r="779" spans="1:27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</row>
    <row r="780" spans="1:27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</row>
    <row r="781" spans="1:27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</row>
    <row r="782" spans="1:27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</row>
    <row r="783" spans="1:27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</row>
    <row r="784" spans="1:27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</row>
    <row r="785" spans="1:27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</row>
    <row r="786" spans="1:27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</row>
    <row r="787" spans="1:27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</row>
    <row r="788" spans="1:27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</row>
    <row r="789" spans="1:27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</row>
    <row r="790" spans="1:27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</row>
    <row r="791" spans="1:27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</row>
    <row r="792" spans="1:27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</row>
    <row r="793" spans="1:27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</row>
    <row r="794" spans="1:27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</row>
    <row r="795" spans="1:27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</row>
    <row r="796" spans="1:27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</row>
    <row r="797" spans="1:27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</row>
    <row r="798" spans="1:27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</row>
    <row r="799" spans="1:27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</row>
    <row r="800" spans="1:27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</row>
    <row r="801" spans="1:27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</row>
    <row r="802" spans="1:27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</row>
    <row r="803" spans="1:27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</row>
    <row r="804" spans="1:27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</row>
    <row r="805" spans="1:27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</row>
    <row r="806" spans="1:27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</row>
    <row r="807" spans="1:27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</row>
    <row r="808" spans="1:27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</row>
    <row r="809" spans="1:27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</row>
    <row r="810" spans="1:27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</row>
    <row r="811" spans="1:27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</row>
    <row r="812" spans="1:27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</row>
    <row r="813" spans="1:27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</row>
    <row r="814" spans="1:27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</row>
    <row r="815" spans="1:27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</row>
    <row r="816" spans="1:27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</row>
    <row r="817" spans="1:27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</row>
    <row r="818" spans="1:27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</row>
    <row r="819" spans="1:27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</row>
    <row r="820" spans="1:27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</row>
    <row r="821" spans="1:27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</row>
    <row r="822" spans="1:27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</row>
    <row r="823" spans="1:27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</row>
    <row r="824" spans="1:27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</row>
    <row r="825" spans="1:27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</row>
    <row r="826" spans="1:27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</row>
    <row r="827" spans="1:27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</row>
    <row r="828" spans="1:27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</row>
    <row r="829" spans="1:27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</row>
    <row r="830" spans="1:27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</row>
    <row r="831" spans="1:27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</row>
    <row r="832" spans="1:27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</row>
    <row r="833" spans="1:27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</row>
    <row r="834" spans="1:27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</row>
    <row r="835" spans="1:27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</row>
    <row r="836" spans="1:27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</row>
    <row r="837" spans="1:27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</row>
    <row r="838" spans="1:27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</row>
    <row r="839" spans="1:27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</row>
    <row r="840" spans="1:27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</row>
    <row r="841" spans="1:27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</row>
    <row r="842" spans="1:27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</row>
    <row r="843" spans="1:27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</row>
    <row r="844" spans="1:27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</row>
    <row r="845" spans="1:27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</row>
    <row r="846" spans="1:27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</row>
    <row r="847" spans="1:27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</row>
    <row r="848" spans="1:27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</row>
    <row r="849" spans="1:27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</row>
    <row r="850" spans="1:27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</row>
    <row r="851" spans="1:27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</row>
    <row r="852" spans="1:27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</row>
    <row r="853" spans="1:27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</row>
    <row r="854" spans="1:27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</row>
    <row r="855" spans="1:27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</row>
    <row r="856" spans="1:27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</row>
    <row r="857" spans="1:27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</row>
    <row r="858" spans="1:27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</row>
    <row r="859" spans="1:27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</row>
    <row r="860" spans="1:27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</row>
    <row r="861" spans="1:27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</row>
    <row r="862" spans="1:27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</row>
    <row r="863" spans="1:27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</row>
    <row r="864" spans="1:27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</row>
    <row r="865" spans="1:27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</row>
    <row r="866" spans="1:27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</row>
    <row r="867" spans="1:27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</row>
    <row r="868" spans="1:27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</row>
    <row r="869" spans="1:27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</row>
    <row r="870" spans="1:27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</row>
    <row r="871" spans="1:27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</row>
    <row r="872" spans="1:27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</row>
    <row r="873" spans="1:27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</row>
    <row r="874" spans="1:27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</row>
    <row r="875" spans="1:27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</row>
    <row r="876" spans="1:27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</row>
    <row r="877" spans="1:27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</row>
    <row r="878" spans="1:27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</row>
    <row r="879" spans="1:27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</row>
    <row r="880" spans="1:27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</row>
    <row r="881" spans="1:27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</row>
    <row r="882" spans="1:27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</row>
    <row r="883" spans="1:27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</row>
    <row r="884" spans="1:27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</row>
    <row r="885" spans="1:27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</row>
    <row r="886" spans="1:27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</row>
    <row r="887" spans="1:27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</row>
    <row r="888" spans="1:27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</row>
    <row r="889" spans="1:27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</row>
    <row r="890" spans="1:27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</row>
    <row r="891" spans="1:27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</row>
    <row r="892" spans="1:27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</row>
    <row r="893" spans="1:27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</row>
    <row r="894" spans="1:27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</row>
    <row r="895" spans="1:27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</row>
    <row r="896" spans="1:27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</row>
    <row r="897" spans="1:27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</row>
    <row r="898" spans="1:27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</row>
    <row r="899" spans="1:27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</row>
    <row r="900" spans="1:27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</row>
    <row r="901" spans="1:27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</row>
    <row r="902" spans="1:27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</row>
    <row r="903" spans="1:27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</row>
    <row r="904" spans="1:27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</row>
    <row r="905" spans="1:27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</row>
    <row r="906" spans="1:27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</row>
    <row r="907" spans="1:27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</row>
    <row r="908" spans="1:27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</row>
    <row r="909" spans="1:27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</row>
    <row r="910" spans="1:27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</row>
    <row r="911" spans="1:27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</row>
    <row r="912" spans="1:27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</row>
    <row r="913" spans="1:27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</row>
    <row r="914" spans="1:27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</row>
    <row r="915" spans="1:27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</row>
    <row r="916" spans="1:27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</row>
    <row r="917" spans="1:27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</row>
    <row r="918" spans="1:27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</row>
    <row r="919" spans="1:27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</row>
    <row r="920" spans="1:27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</row>
    <row r="921" spans="1:27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</row>
    <row r="922" spans="1:27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</row>
    <row r="923" spans="1:27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</row>
    <row r="924" spans="1:27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</row>
    <row r="925" spans="1:27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</row>
    <row r="926" spans="1:27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</row>
    <row r="927" spans="1:27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</row>
    <row r="928" spans="1:27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</row>
    <row r="929" spans="1:27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</row>
    <row r="930" spans="1:27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</row>
    <row r="931" spans="1:27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</row>
    <row r="932" spans="1:27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</row>
    <row r="933" spans="1:27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</row>
    <row r="934" spans="1:27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</row>
    <row r="935" spans="1:27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</row>
    <row r="936" spans="1:27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</row>
    <row r="937" spans="1:27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</row>
    <row r="938" spans="1:27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</row>
    <row r="939" spans="1:27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</row>
    <row r="940" spans="1:27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</row>
    <row r="941" spans="1:27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</row>
    <row r="942" spans="1:27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</row>
    <row r="943" spans="1:27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</row>
    <row r="944" spans="1:27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</row>
    <row r="945" spans="1:27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</row>
    <row r="946" spans="1:27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</row>
    <row r="947" spans="1:27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</row>
    <row r="948" spans="1:27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</row>
    <row r="949" spans="1:27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</row>
    <row r="950" spans="1:27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</row>
    <row r="951" spans="1:27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</row>
    <row r="952" spans="1:27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</row>
    <row r="953" spans="1:27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</row>
    <row r="954" spans="1:27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</row>
    <row r="955" spans="1:27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</row>
    <row r="956" spans="1:27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</row>
    <row r="957" spans="1:27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</row>
    <row r="958" spans="1:27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</row>
    <row r="959" spans="1:27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</row>
    <row r="960" spans="1:27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</row>
    <row r="961" spans="1:27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</row>
    <row r="962" spans="1:27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</row>
    <row r="963" spans="1:27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</row>
    <row r="964" spans="1:27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</row>
    <row r="965" spans="1:27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</row>
    <row r="966" spans="1:27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</row>
    <row r="967" spans="1:27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</row>
    <row r="968" spans="1:27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</row>
    <row r="969" spans="1:27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</row>
    <row r="970" spans="1:27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</row>
    <row r="971" spans="1:27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</row>
    <row r="972" spans="1:27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</row>
    <row r="973" spans="1:27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</row>
    <row r="974" spans="1:27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</row>
    <row r="975" spans="1:27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</row>
    <row r="976" spans="1:27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</row>
    <row r="977" spans="1:27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</row>
    <row r="978" spans="1:27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</row>
    <row r="979" spans="1:27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</row>
    <row r="980" spans="1:27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</row>
    <row r="981" spans="1:27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</row>
    <row r="982" spans="1:27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</row>
    <row r="983" spans="1:27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</row>
    <row r="984" spans="1:27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</row>
    <row r="985" spans="1:27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</row>
    <row r="986" spans="1:27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</row>
    <row r="987" spans="1:27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</row>
    <row r="988" spans="1:27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</row>
    <row r="989" spans="1:27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</row>
    <row r="990" spans="1:27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</row>
    <row r="991" spans="1:27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</row>
    <row r="992" spans="1:27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</row>
    <row r="993" spans="1:27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</row>
    <row r="994" spans="1:27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</row>
    <row r="995" spans="1:27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</row>
    <row r="996" spans="1:27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</row>
    <row r="997" spans="1:27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</row>
    <row r="998" spans="1:27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</row>
    <row r="999" spans="1:27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</row>
    <row r="1000" spans="1:27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</row>
  </sheetData>
  <mergeCells count="3">
    <mergeCell ref="F2:F3"/>
    <mergeCell ref="G2:G5"/>
    <mergeCell ref="F4:F5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AB1002"/>
  <sheetViews>
    <sheetView workbookViewId="0">
      <pane ySplit="3" topLeftCell="A4" activePane="bottomLeft" state="frozen"/>
      <selection pane="bottomLeft" activeCell="B5" sqref="B5"/>
    </sheetView>
  </sheetViews>
  <sheetFormatPr defaultColWidth="12.5703125" defaultRowHeight="15.75" customHeight="1"/>
  <sheetData>
    <row r="1" spans="1:28">
      <c r="A1" s="111" t="s">
        <v>12</v>
      </c>
      <c r="B1" s="110"/>
      <c r="C1" s="110"/>
      <c r="D1" s="110"/>
      <c r="E1" s="110"/>
      <c r="F1" s="110"/>
      <c r="G1" s="110"/>
      <c r="H1" s="110"/>
      <c r="I1" s="1"/>
      <c r="J1" s="111" t="s">
        <v>13</v>
      </c>
      <c r="K1" s="110"/>
      <c r="L1" s="2"/>
      <c r="M1" s="111" t="s">
        <v>13</v>
      </c>
      <c r="N1" s="110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</row>
    <row r="2" spans="1:28">
      <c r="A2" s="111" t="s">
        <v>14</v>
      </c>
      <c r="B2" s="110"/>
      <c r="C2" s="111" t="s">
        <v>15</v>
      </c>
      <c r="D2" s="110"/>
      <c r="E2" s="110"/>
      <c r="F2" s="110"/>
      <c r="G2" s="110"/>
      <c r="H2" s="110"/>
      <c r="I2" s="1"/>
      <c r="J2" s="111" t="s">
        <v>16</v>
      </c>
      <c r="K2" s="110"/>
      <c r="L2" s="2"/>
      <c r="M2" s="111" t="s">
        <v>16</v>
      </c>
      <c r="N2" s="110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</row>
    <row r="3" spans="1:28">
      <c r="A3" s="2"/>
      <c r="B3" s="2" t="s">
        <v>17</v>
      </c>
      <c r="C3" s="2" t="s">
        <v>18</v>
      </c>
      <c r="D3" s="2" t="s">
        <v>19</v>
      </c>
      <c r="E3" s="2" t="s">
        <v>20</v>
      </c>
      <c r="F3" s="2" t="s">
        <v>21</v>
      </c>
      <c r="G3" s="2" t="s">
        <v>22</v>
      </c>
      <c r="H3" s="2" t="s">
        <v>23</v>
      </c>
      <c r="I3" s="1"/>
      <c r="J3" s="1" t="s">
        <v>24</v>
      </c>
      <c r="K3" s="1" t="s">
        <v>25</v>
      </c>
      <c r="L3" s="2"/>
      <c r="M3" s="1" t="s">
        <v>24</v>
      </c>
      <c r="N3" s="1" t="s">
        <v>25</v>
      </c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</row>
    <row r="4" spans="1:28">
      <c r="A4" s="2" t="s">
        <v>18</v>
      </c>
      <c r="B4" s="2">
        <v>30000000</v>
      </c>
      <c r="C4" s="2">
        <v>2300</v>
      </c>
      <c r="D4" s="2">
        <v>2180</v>
      </c>
      <c r="E4" s="2">
        <v>2160</v>
      </c>
      <c r="F4" s="2">
        <v>2100</v>
      </c>
      <c r="G4" s="2">
        <v>1950</v>
      </c>
      <c r="H4" s="2">
        <v>1900</v>
      </c>
      <c r="I4" s="2"/>
      <c r="J4" s="2">
        <v>12</v>
      </c>
      <c r="K4" s="6">
        <v>0.245</v>
      </c>
      <c r="L4" s="2"/>
      <c r="M4" s="2">
        <v>12</v>
      </c>
      <c r="N4" s="6">
        <v>0.245</v>
      </c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</row>
    <row r="5" spans="1:28">
      <c r="A5" s="2" t="s">
        <v>19</v>
      </c>
      <c r="B5" s="2">
        <v>25000000</v>
      </c>
      <c r="C5" s="2">
        <v>2180</v>
      </c>
      <c r="D5" s="2">
        <v>2090</v>
      </c>
      <c r="E5" s="2">
        <v>2070</v>
      </c>
      <c r="F5" s="2">
        <v>2020</v>
      </c>
      <c r="G5" s="2">
        <v>1900</v>
      </c>
      <c r="H5" s="2">
        <v>1850</v>
      </c>
      <c r="I5" s="2"/>
      <c r="J5" s="2">
        <v>13</v>
      </c>
      <c r="K5" s="6">
        <v>0.26100000000000001</v>
      </c>
      <c r="L5" s="2"/>
      <c r="M5" s="2">
        <v>13</v>
      </c>
      <c r="N5" s="6">
        <v>0.26100000000000001</v>
      </c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</row>
    <row r="6" spans="1:28">
      <c r="A6" s="2" t="s">
        <v>20</v>
      </c>
      <c r="B6" s="2">
        <v>24000000</v>
      </c>
      <c r="C6" s="2">
        <v>2160</v>
      </c>
      <c r="D6" s="2">
        <v>2070</v>
      </c>
      <c r="E6" s="2">
        <v>2050</v>
      </c>
      <c r="F6" s="2">
        <v>2000</v>
      </c>
      <c r="G6" s="2">
        <v>1880</v>
      </c>
      <c r="H6" s="2">
        <v>1830</v>
      </c>
      <c r="I6" s="2"/>
      <c r="J6" s="2">
        <v>14</v>
      </c>
      <c r="K6" s="6">
        <v>0.27700000000000002</v>
      </c>
      <c r="L6" s="2"/>
      <c r="M6" s="2">
        <v>14</v>
      </c>
      <c r="N6" s="6">
        <v>0.27700000000000002</v>
      </c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</row>
    <row r="7" spans="1:28">
      <c r="A7" s="2" t="s">
        <v>26</v>
      </c>
      <c r="B7" s="2">
        <v>22000000</v>
      </c>
      <c r="C7" s="2">
        <v>2100</v>
      </c>
      <c r="D7" s="2">
        <v>2020</v>
      </c>
      <c r="E7" s="2">
        <v>2000</v>
      </c>
      <c r="F7" s="2">
        <v>1960</v>
      </c>
      <c r="G7" s="2">
        <v>1850</v>
      </c>
      <c r="H7" s="2">
        <v>1800</v>
      </c>
      <c r="I7" s="2"/>
      <c r="J7" s="2">
        <v>15</v>
      </c>
      <c r="K7" s="6">
        <v>0.28999999999999998</v>
      </c>
      <c r="L7" s="2"/>
      <c r="M7" s="2">
        <v>15</v>
      </c>
      <c r="N7" s="6">
        <v>0.28999999999999998</v>
      </c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</row>
    <row r="8" spans="1:28">
      <c r="A8" s="2" t="s">
        <v>22</v>
      </c>
      <c r="B8" s="2">
        <v>17500000</v>
      </c>
      <c r="C8" s="2">
        <v>1950</v>
      </c>
      <c r="D8" s="2">
        <v>1900</v>
      </c>
      <c r="E8" s="2">
        <v>1880</v>
      </c>
      <c r="F8" s="2">
        <v>1850</v>
      </c>
      <c r="G8" s="2">
        <v>1750</v>
      </c>
      <c r="H8" s="2">
        <v>1700</v>
      </c>
      <c r="I8" s="2"/>
      <c r="J8" s="2">
        <v>16</v>
      </c>
      <c r="K8" s="6">
        <v>0.29599999999999999</v>
      </c>
      <c r="L8" s="2"/>
      <c r="M8" s="2">
        <v>16</v>
      </c>
      <c r="N8" s="6">
        <v>0.29599999999999999</v>
      </c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</row>
    <row r="9" spans="1:28">
      <c r="A9" s="2" t="s">
        <v>23</v>
      </c>
      <c r="B9" s="2">
        <v>16000000</v>
      </c>
      <c r="C9" s="2">
        <v>1900</v>
      </c>
      <c r="D9" s="2">
        <v>1850</v>
      </c>
      <c r="E9" s="2">
        <v>1830</v>
      </c>
      <c r="F9" s="2">
        <v>1800</v>
      </c>
      <c r="G9" s="2">
        <v>1700</v>
      </c>
      <c r="H9" s="2">
        <v>1650</v>
      </c>
      <c r="I9" s="2"/>
      <c r="J9" s="2">
        <v>17</v>
      </c>
      <c r="K9" s="6">
        <v>0.30299999999999999</v>
      </c>
      <c r="L9" s="2"/>
      <c r="M9" s="2">
        <v>17</v>
      </c>
      <c r="N9" s="6">
        <v>0.30299999999999999</v>
      </c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</row>
    <row r="10" spans="1:28">
      <c r="A10" s="2"/>
      <c r="B10" s="2"/>
      <c r="C10" s="2"/>
      <c r="D10" s="2"/>
      <c r="E10" s="2"/>
      <c r="F10" s="2"/>
      <c r="G10" s="2"/>
      <c r="H10" s="2"/>
      <c r="I10" s="2"/>
      <c r="J10" s="2">
        <v>18</v>
      </c>
      <c r="K10" s="6">
        <v>0.309</v>
      </c>
      <c r="L10" s="2"/>
      <c r="M10" s="2">
        <v>18</v>
      </c>
      <c r="N10" s="6">
        <v>0.309</v>
      </c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</row>
    <row r="11" spans="1:28">
      <c r="A11" s="2"/>
      <c r="B11" s="2"/>
      <c r="C11" s="2"/>
      <c r="D11" s="2"/>
      <c r="E11" s="2"/>
      <c r="F11" s="2"/>
      <c r="G11" s="2"/>
      <c r="H11" s="2"/>
      <c r="I11" s="2"/>
      <c r="J11" s="2">
        <v>19</v>
      </c>
      <c r="K11" s="6">
        <v>0.314</v>
      </c>
      <c r="L11" s="2"/>
      <c r="M11" s="2">
        <v>19</v>
      </c>
      <c r="N11" s="6">
        <v>0.314</v>
      </c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</row>
    <row r="12" spans="1:28">
      <c r="A12" s="2"/>
      <c r="B12" s="2"/>
      <c r="C12" s="2"/>
      <c r="D12" s="2"/>
      <c r="E12" s="2"/>
      <c r="F12" s="2"/>
      <c r="G12" s="2"/>
      <c r="H12" s="2"/>
      <c r="I12" s="2"/>
      <c r="J12" s="2">
        <v>20</v>
      </c>
      <c r="K12" s="6">
        <v>0.32200000000000001</v>
      </c>
      <c r="L12" s="2"/>
      <c r="M12" s="2">
        <v>20</v>
      </c>
      <c r="N12" s="6">
        <v>0.32200000000000001</v>
      </c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</row>
    <row r="13" spans="1:28">
      <c r="A13" s="2"/>
      <c r="B13" s="2"/>
      <c r="C13" s="2"/>
      <c r="D13" s="2"/>
      <c r="E13" s="2"/>
      <c r="F13" s="2"/>
      <c r="G13" s="2"/>
      <c r="H13" s="2"/>
      <c r="I13" s="2"/>
      <c r="J13" s="2">
        <v>21</v>
      </c>
      <c r="K13" s="6">
        <v>0.32800000000000001</v>
      </c>
      <c r="L13" s="2"/>
      <c r="M13" s="2">
        <v>21</v>
      </c>
      <c r="N13" s="6">
        <v>0.32800000000000001</v>
      </c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</row>
    <row r="14" spans="1:28">
      <c r="A14" s="2"/>
      <c r="B14" s="2"/>
      <c r="C14" s="2"/>
      <c r="D14" s="2"/>
      <c r="E14" s="2"/>
      <c r="F14" s="2"/>
      <c r="G14" s="2"/>
      <c r="H14" s="2"/>
      <c r="I14" s="2"/>
      <c r="J14" s="2">
        <v>22</v>
      </c>
      <c r="K14" s="6">
        <v>0.33100000000000002</v>
      </c>
      <c r="L14" s="2"/>
      <c r="M14" s="2">
        <v>22</v>
      </c>
      <c r="N14" s="6">
        <v>0.33100000000000002</v>
      </c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</row>
    <row r="15" spans="1:28">
      <c r="A15" s="2"/>
      <c r="B15" s="2"/>
      <c r="C15" s="2"/>
      <c r="D15" s="2"/>
      <c r="E15" s="2"/>
      <c r="F15" s="2"/>
      <c r="G15" s="2"/>
      <c r="H15" s="2"/>
      <c r="I15" s="2"/>
      <c r="J15" s="2">
        <v>23</v>
      </c>
      <c r="K15" s="6">
        <v>0.33700000000000002</v>
      </c>
      <c r="L15" s="2"/>
      <c r="M15" s="2">
        <v>23</v>
      </c>
      <c r="N15" s="6">
        <v>0.33700000000000002</v>
      </c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</row>
    <row r="16" spans="1:28">
      <c r="A16" s="2"/>
      <c r="B16" s="2"/>
      <c r="C16" s="2"/>
      <c r="D16" s="2"/>
      <c r="E16" s="2"/>
      <c r="F16" s="2"/>
      <c r="G16" s="2"/>
      <c r="H16" s="2"/>
      <c r="I16" s="2"/>
      <c r="J16" s="2">
        <v>24</v>
      </c>
      <c r="K16" s="6">
        <v>0.34599999999999997</v>
      </c>
      <c r="L16" s="2"/>
      <c r="M16" s="2">
        <v>24</v>
      </c>
      <c r="N16" s="6">
        <v>0.34599999999999997</v>
      </c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</row>
    <row r="17" spans="1:28">
      <c r="A17" s="2"/>
      <c r="B17" s="2"/>
      <c r="C17" s="2"/>
      <c r="D17" s="2"/>
      <c r="E17" s="2"/>
      <c r="F17" s="2"/>
      <c r="G17" s="2"/>
      <c r="H17" s="2"/>
      <c r="I17" s="2"/>
      <c r="J17" s="2">
        <v>26</v>
      </c>
      <c r="K17" s="6">
        <v>0.35299999999999998</v>
      </c>
      <c r="L17" s="2"/>
      <c r="M17" s="2">
        <v>25</v>
      </c>
      <c r="N17" s="7">
        <f>AVERAGE(N16,N18)</f>
        <v>0.34949999999999998</v>
      </c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</row>
    <row r="18" spans="1:28">
      <c r="A18" s="2"/>
      <c r="B18" s="2"/>
      <c r="C18" s="2"/>
      <c r="D18" s="2"/>
      <c r="E18" s="2"/>
      <c r="F18" s="2"/>
      <c r="G18" s="2"/>
      <c r="H18" s="2"/>
      <c r="I18" s="2"/>
      <c r="J18" s="2">
        <v>28</v>
      </c>
      <c r="K18" s="6">
        <v>0.35899999999999999</v>
      </c>
      <c r="L18" s="2"/>
      <c r="M18" s="2">
        <v>26</v>
      </c>
      <c r="N18" s="6">
        <v>0.35299999999999998</v>
      </c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</row>
    <row r="19" spans="1:28">
      <c r="A19" s="2"/>
      <c r="B19" s="2"/>
      <c r="C19" s="2"/>
      <c r="D19" s="2"/>
      <c r="E19" s="2"/>
      <c r="F19" s="2"/>
      <c r="G19" s="2"/>
      <c r="H19" s="2"/>
      <c r="I19" s="2"/>
      <c r="J19" s="2">
        <v>30</v>
      </c>
      <c r="K19" s="6">
        <v>0.371</v>
      </c>
      <c r="L19" s="2"/>
      <c r="M19" s="2">
        <v>27</v>
      </c>
      <c r="N19" s="7">
        <f>AVERAGE(N18,N20)</f>
        <v>0.35599999999999998</v>
      </c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</row>
    <row r="20" spans="1:28">
      <c r="A20" s="2"/>
      <c r="B20" s="2"/>
      <c r="C20" s="2"/>
      <c r="D20" s="2"/>
      <c r="E20" s="2"/>
      <c r="F20" s="2"/>
      <c r="G20" s="2"/>
      <c r="H20" s="2"/>
      <c r="I20" s="2"/>
      <c r="J20" s="2">
        <v>34</v>
      </c>
      <c r="K20" s="6">
        <v>0.38400000000000001</v>
      </c>
      <c r="L20" s="2"/>
      <c r="M20" s="2">
        <v>28</v>
      </c>
      <c r="N20" s="6">
        <v>0.35899999999999999</v>
      </c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</row>
    <row r="21" spans="1:28">
      <c r="A21" s="2"/>
      <c r="B21" s="2"/>
      <c r="C21" s="2"/>
      <c r="D21" s="2"/>
      <c r="E21" s="2"/>
      <c r="F21" s="2"/>
      <c r="G21" s="2"/>
      <c r="H21" s="2"/>
      <c r="I21" s="2"/>
      <c r="J21" s="2">
        <v>38</v>
      </c>
      <c r="K21" s="6">
        <v>0.39700000000000002</v>
      </c>
      <c r="L21" s="2"/>
      <c r="M21" s="2">
        <v>29</v>
      </c>
      <c r="N21" s="7">
        <f>AVERAGE(N20,N22)</f>
        <v>0.36499999999999999</v>
      </c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</row>
    <row r="22" spans="1:28">
      <c r="A22" s="2"/>
      <c r="B22" s="2"/>
      <c r="C22" s="2"/>
      <c r="D22" s="2"/>
      <c r="E22" s="2"/>
      <c r="F22" s="2"/>
      <c r="G22" s="2"/>
      <c r="H22" s="2"/>
      <c r="I22" s="2"/>
      <c r="J22" s="2">
        <v>43</v>
      </c>
      <c r="K22" s="6">
        <v>0.40899999999999997</v>
      </c>
      <c r="L22" s="2"/>
      <c r="M22" s="2">
        <v>30</v>
      </c>
      <c r="N22" s="6">
        <v>0.371</v>
      </c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</row>
    <row r="23" spans="1:28">
      <c r="A23" s="2"/>
      <c r="B23" s="2"/>
      <c r="C23" s="2"/>
      <c r="D23" s="2"/>
      <c r="E23" s="2"/>
      <c r="F23" s="2"/>
      <c r="G23" s="2"/>
      <c r="H23" s="2"/>
      <c r="I23" s="2"/>
      <c r="J23" s="2">
        <v>50</v>
      </c>
      <c r="K23" s="6">
        <v>0.42199999999999999</v>
      </c>
      <c r="L23" s="2"/>
      <c r="M23" s="2">
        <v>31</v>
      </c>
      <c r="N23" s="7">
        <f>AVERAGE(N22,N24)</f>
        <v>0.37424999999999997</v>
      </c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</row>
    <row r="24" spans="1:28">
      <c r="A24" s="2"/>
      <c r="B24" s="2"/>
      <c r="C24" s="2"/>
      <c r="D24" s="2"/>
      <c r="E24" s="2"/>
      <c r="F24" s="2"/>
      <c r="G24" s="2"/>
      <c r="H24" s="2"/>
      <c r="I24" s="2"/>
      <c r="J24" s="2">
        <v>60</v>
      </c>
      <c r="K24" s="6">
        <v>0.435</v>
      </c>
      <c r="L24" s="2"/>
      <c r="M24" s="2">
        <v>32</v>
      </c>
      <c r="N24" s="7">
        <f>AVERAGE(N22,N26)</f>
        <v>0.3775</v>
      </c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</row>
    <row r="25" spans="1:28">
      <c r="A25" s="2"/>
      <c r="B25" s="2"/>
      <c r="C25" s="2"/>
      <c r="D25" s="2"/>
      <c r="E25" s="2"/>
      <c r="F25" s="2"/>
      <c r="G25" s="2"/>
      <c r="H25" s="2"/>
      <c r="I25" s="2"/>
      <c r="J25" s="2">
        <v>75</v>
      </c>
      <c r="K25" s="6">
        <v>0.44700000000000001</v>
      </c>
      <c r="L25" s="2"/>
      <c r="M25" s="2">
        <v>33</v>
      </c>
      <c r="N25" s="7">
        <f>AVERAGE(N24,N26)</f>
        <v>0.38075000000000003</v>
      </c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</row>
    <row r="26" spans="1:28">
      <c r="A26" s="2"/>
      <c r="B26" s="2"/>
      <c r="C26" s="2"/>
      <c r="D26" s="2"/>
      <c r="E26" s="2"/>
      <c r="F26" s="2"/>
      <c r="G26" s="2"/>
      <c r="H26" s="2"/>
      <c r="I26" s="2"/>
      <c r="J26" s="2">
        <v>100</v>
      </c>
      <c r="K26" s="6">
        <v>0.46</v>
      </c>
      <c r="L26" s="2"/>
      <c r="M26" s="2">
        <v>34</v>
      </c>
      <c r="N26" s="6">
        <v>0.38400000000000001</v>
      </c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</row>
    <row r="27" spans="1:28">
      <c r="A27" s="2"/>
      <c r="B27" s="2"/>
      <c r="C27" s="2"/>
      <c r="D27" s="2"/>
      <c r="E27" s="2"/>
      <c r="F27" s="2"/>
      <c r="G27" s="2"/>
      <c r="H27" s="2"/>
      <c r="I27" s="2"/>
      <c r="J27" s="2">
        <v>150</v>
      </c>
      <c r="K27" s="6">
        <v>0.47199999999999998</v>
      </c>
      <c r="L27" s="2"/>
      <c r="M27" s="2">
        <v>35</v>
      </c>
      <c r="N27" s="7">
        <f>AVERAGE(N26,N28)</f>
        <v>0.38724999999999998</v>
      </c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</row>
    <row r="28" spans="1:28">
      <c r="A28" s="2"/>
      <c r="B28" s="2"/>
      <c r="C28" s="2"/>
      <c r="D28" s="2"/>
      <c r="E28" s="2"/>
      <c r="F28" s="2"/>
      <c r="G28" s="2"/>
      <c r="H28" s="2"/>
      <c r="I28" s="2"/>
      <c r="J28" s="2">
        <v>300</v>
      </c>
      <c r="K28" s="6">
        <v>0.48</v>
      </c>
      <c r="L28" s="2"/>
      <c r="M28" s="2">
        <v>36</v>
      </c>
      <c r="N28" s="7">
        <f>AVERAGE(N26,N30)</f>
        <v>0.39050000000000001</v>
      </c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</row>
    <row r="29" spans="1:28">
      <c r="A29" s="2"/>
      <c r="B29" s="2"/>
      <c r="C29" s="2"/>
      <c r="D29" s="2"/>
      <c r="E29" s="2"/>
      <c r="F29" s="2"/>
      <c r="G29" s="2"/>
      <c r="H29" s="2"/>
      <c r="I29" s="2"/>
      <c r="J29" s="2">
        <v>400</v>
      </c>
      <c r="K29" s="6">
        <v>0.48499999999999999</v>
      </c>
      <c r="L29" s="2"/>
      <c r="M29" s="2">
        <v>37</v>
      </c>
      <c r="N29" s="7">
        <f>AVERAGE(N28,N30)</f>
        <v>0.39375000000000004</v>
      </c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</row>
    <row r="30" spans="1:28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>
        <v>38</v>
      </c>
      <c r="N30" s="6">
        <v>0.39700000000000002</v>
      </c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</row>
    <row r="31" spans="1:28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>
        <v>39</v>
      </c>
      <c r="N31" s="7">
        <f t="shared" ref="N31:N34" si="0">N30+(N$35-N$30)/5</f>
        <v>0.39940000000000003</v>
      </c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</row>
    <row r="32" spans="1:28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>
        <v>40</v>
      </c>
      <c r="N32" s="7">
        <f t="shared" si="0"/>
        <v>0.40180000000000005</v>
      </c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</row>
    <row r="33" spans="1:28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>
        <v>41</v>
      </c>
      <c r="N33" s="7">
        <f t="shared" si="0"/>
        <v>0.40420000000000006</v>
      </c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</row>
    <row r="34" spans="1:28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>
        <v>42</v>
      </c>
      <c r="N34" s="7">
        <f t="shared" si="0"/>
        <v>0.40660000000000007</v>
      </c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</row>
    <row r="35" spans="1:28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>
        <v>43</v>
      </c>
      <c r="N35" s="6">
        <v>0.40899999999999997</v>
      </c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</row>
    <row r="36" spans="1:28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>
        <v>44</v>
      </c>
      <c r="N36" s="7">
        <f t="shared" ref="N36:N41" si="1">N35+(N$42-N$35)/7</f>
        <v>0.41085714285714281</v>
      </c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</row>
    <row r="37" spans="1:28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>
        <v>45</v>
      </c>
      <c r="N37" s="7">
        <f t="shared" si="1"/>
        <v>0.41271428571428564</v>
      </c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</row>
    <row r="38" spans="1:28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>
        <v>46</v>
      </c>
      <c r="N38" s="7">
        <f t="shared" si="1"/>
        <v>0.41457142857142848</v>
      </c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</row>
    <row r="39" spans="1:28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>
        <v>47</v>
      </c>
      <c r="N39" s="7">
        <f t="shared" si="1"/>
        <v>0.41642857142857131</v>
      </c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</row>
    <row r="40" spans="1:28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>
        <v>48</v>
      </c>
      <c r="N40" s="7">
        <f t="shared" si="1"/>
        <v>0.41828571428571415</v>
      </c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</row>
    <row r="41" spans="1:28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>
        <v>49</v>
      </c>
      <c r="N41" s="7">
        <f t="shared" si="1"/>
        <v>0.42014285714285698</v>
      </c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</row>
    <row r="42" spans="1:28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>
        <v>50</v>
      </c>
      <c r="N42" s="6">
        <v>0.42199999999999999</v>
      </c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</row>
    <row r="43" spans="1:28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>
        <v>51</v>
      </c>
      <c r="N43" s="7">
        <f t="shared" ref="N43:N51" si="2">N42+(N$52-N$42)/10</f>
        <v>0.42330000000000001</v>
      </c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</row>
    <row r="44" spans="1:28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>
        <v>52</v>
      </c>
      <c r="N44" s="7">
        <f t="shared" si="2"/>
        <v>0.42460000000000003</v>
      </c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</row>
    <row r="45" spans="1:28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>
        <v>53</v>
      </c>
      <c r="N45" s="7">
        <f t="shared" si="2"/>
        <v>0.42590000000000006</v>
      </c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</row>
    <row r="46" spans="1:28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>
        <v>54</v>
      </c>
      <c r="N46" s="7">
        <f t="shared" si="2"/>
        <v>0.42720000000000008</v>
      </c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</row>
    <row r="47" spans="1:28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>
        <v>55</v>
      </c>
      <c r="N47" s="7">
        <f t="shared" si="2"/>
        <v>0.4285000000000001</v>
      </c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</row>
    <row r="48" spans="1:28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>
        <v>56</v>
      </c>
      <c r="N48" s="7">
        <f t="shared" si="2"/>
        <v>0.42980000000000013</v>
      </c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</row>
    <row r="49" spans="1:28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>
        <v>57</v>
      </c>
      <c r="N49" s="7">
        <f t="shared" si="2"/>
        <v>0.43110000000000015</v>
      </c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</row>
    <row r="50" spans="1:28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>
        <v>58</v>
      </c>
      <c r="N50" s="7">
        <f t="shared" si="2"/>
        <v>0.43240000000000017</v>
      </c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</row>
    <row r="51" spans="1:28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>
        <v>59</v>
      </c>
      <c r="N51" s="7">
        <f t="shared" si="2"/>
        <v>0.4337000000000002</v>
      </c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</row>
    <row r="52" spans="1:28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>
        <v>60</v>
      </c>
      <c r="N52" s="6">
        <v>0.435</v>
      </c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</row>
    <row r="53" spans="1:28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>
        <v>61</v>
      </c>
      <c r="N53" s="7">
        <f t="shared" ref="N53:N66" si="3">N52+(N$67-N$52)/15</f>
        <v>0.43580000000000002</v>
      </c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</row>
    <row r="54" spans="1:28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>
        <v>62</v>
      </c>
      <c r="N54" s="7">
        <f t="shared" si="3"/>
        <v>0.43660000000000004</v>
      </c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</row>
    <row r="55" spans="1:28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>
        <v>63</v>
      </c>
      <c r="N55" s="7">
        <f t="shared" si="3"/>
        <v>0.43740000000000007</v>
      </c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</row>
    <row r="56" spans="1:28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>
        <v>64</v>
      </c>
      <c r="N56" s="7">
        <f t="shared" si="3"/>
        <v>0.43820000000000009</v>
      </c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</row>
    <row r="57" spans="1:28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>
        <v>65</v>
      </c>
      <c r="N57" s="7">
        <f t="shared" si="3"/>
        <v>0.43900000000000011</v>
      </c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</row>
    <row r="58" spans="1:28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>
        <v>66</v>
      </c>
      <c r="N58" s="7">
        <f t="shared" si="3"/>
        <v>0.43980000000000014</v>
      </c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</row>
    <row r="59" spans="1:28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>
        <v>67</v>
      </c>
      <c r="N59" s="7">
        <f t="shared" si="3"/>
        <v>0.44060000000000016</v>
      </c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</row>
    <row r="60" spans="1:28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>
        <v>68</v>
      </c>
      <c r="N60" s="7">
        <f t="shared" si="3"/>
        <v>0.44140000000000018</v>
      </c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</row>
    <row r="61" spans="1:28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>
        <v>69</v>
      </c>
      <c r="N61" s="7">
        <f t="shared" si="3"/>
        <v>0.4422000000000002</v>
      </c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</row>
    <row r="62" spans="1:28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>
        <v>70</v>
      </c>
      <c r="N62" s="7">
        <f t="shared" si="3"/>
        <v>0.44300000000000023</v>
      </c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</row>
    <row r="63" spans="1:28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>
        <v>71</v>
      </c>
      <c r="N63" s="7">
        <f t="shared" si="3"/>
        <v>0.44380000000000025</v>
      </c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</row>
    <row r="64" spans="1:28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>
        <v>72</v>
      </c>
      <c r="N64" s="7">
        <f t="shared" si="3"/>
        <v>0.44460000000000027</v>
      </c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</row>
    <row r="65" spans="1:28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>
        <v>73</v>
      </c>
      <c r="N65" s="7">
        <f t="shared" si="3"/>
        <v>0.4454000000000003</v>
      </c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</row>
    <row r="66" spans="1:28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>
        <v>74</v>
      </c>
      <c r="N66" s="7">
        <f t="shared" si="3"/>
        <v>0.44620000000000032</v>
      </c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</row>
    <row r="67" spans="1:28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>
        <v>75</v>
      </c>
      <c r="N67" s="6">
        <v>0.44700000000000001</v>
      </c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</row>
    <row r="68" spans="1:28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>
        <v>76</v>
      </c>
      <c r="N68" s="7">
        <f t="shared" ref="N68:N91" si="4">N67+(N$92-N$67)/25</f>
        <v>0.44752000000000003</v>
      </c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</row>
    <row r="69" spans="1:28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>
        <v>77</v>
      </c>
      <c r="N69" s="7">
        <f t="shared" si="4"/>
        <v>0.44804000000000005</v>
      </c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</row>
    <row r="70" spans="1:28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>
        <v>78</v>
      </c>
      <c r="N70" s="7">
        <f t="shared" si="4"/>
        <v>0.44856000000000007</v>
      </c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</row>
    <row r="71" spans="1:28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>
        <v>79</v>
      </c>
      <c r="N71" s="7">
        <f t="shared" si="4"/>
        <v>0.44908000000000009</v>
      </c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</row>
    <row r="72" spans="1:28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>
        <v>80</v>
      </c>
      <c r="N72" s="7">
        <f t="shared" si="4"/>
        <v>0.44960000000000011</v>
      </c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</row>
    <row r="73" spans="1:28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>
        <v>81</v>
      </c>
      <c r="N73" s="7">
        <f t="shared" si="4"/>
        <v>0.45012000000000013</v>
      </c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</row>
    <row r="74" spans="1:28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>
        <v>82</v>
      </c>
      <c r="N74" s="7">
        <f t="shared" si="4"/>
        <v>0.45064000000000015</v>
      </c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</row>
    <row r="75" spans="1:28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>
        <v>83</v>
      </c>
      <c r="N75" s="7">
        <f t="shared" si="4"/>
        <v>0.45116000000000017</v>
      </c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</row>
    <row r="76" spans="1:28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>
        <v>84</v>
      </c>
      <c r="N76" s="7">
        <f t="shared" si="4"/>
        <v>0.45168000000000019</v>
      </c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</row>
    <row r="77" spans="1:28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>
        <v>85</v>
      </c>
      <c r="N77" s="7">
        <f t="shared" si="4"/>
        <v>0.45220000000000021</v>
      </c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</row>
    <row r="78" spans="1:28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>
        <v>86</v>
      </c>
      <c r="N78" s="7">
        <f t="shared" si="4"/>
        <v>0.45272000000000023</v>
      </c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</row>
    <row r="79" spans="1:28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>
        <v>87</v>
      </c>
      <c r="N79" s="7">
        <f t="shared" si="4"/>
        <v>0.45324000000000025</v>
      </c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</row>
    <row r="80" spans="1:28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>
        <v>88</v>
      </c>
      <c r="N80" s="7">
        <f t="shared" si="4"/>
        <v>0.45376000000000027</v>
      </c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</row>
    <row r="81" spans="1:28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>
        <v>89</v>
      </c>
      <c r="N81" s="7">
        <f t="shared" si="4"/>
        <v>0.45428000000000029</v>
      </c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</row>
    <row r="82" spans="1:28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>
        <v>90</v>
      </c>
      <c r="N82" s="7">
        <f t="shared" si="4"/>
        <v>0.45480000000000032</v>
      </c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</row>
    <row r="83" spans="1:28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>
        <v>91</v>
      </c>
      <c r="N83" s="7">
        <f t="shared" si="4"/>
        <v>0.45532000000000034</v>
      </c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</row>
    <row r="84" spans="1:28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>
        <v>92</v>
      </c>
      <c r="N84" s="7">
        <f t="shared" si="4"/>
        <v>0.45584000000000036</v>
      </c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</row>
    <row r="85" spans="1:28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>
        <v>93</v>
      </c>
      <c r="N85" s="7">
        <f t="shared" si="4"/>
        <v>0.45636000000000038</v>
      </c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</row>
    <row r="86" spans="1:28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>
        <v>94</v>
      </c>
      <c r="N86" s="7">
        <f t="shared" si="4"/>
        <v>0.4568800000000004</v>
      </c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</row>
    <row r="87" spans="1:28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>
        <v>95</v>
      </c>
      <c r="N87" s="7">
        <f t="shared" si="4"/>
        <v>0.45740000000000042</v>
      </c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</row>
    <row r="88" spans="1:28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>
        <v>96</v>
      </c>
      <c r="N88" s="7">
        <f t="shared" si="4"/>
        <v>0.45792000000000044</v>
      </c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</row>
    <row r="89" spans="1:28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>
        <v>97</v>
      </c>
      <c r="N89" s="7">
        <f t="shared" si="4"/>
        <v>0.45844000000000046</v>
      </c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</row>
    <row r="90" spans="1:28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>
        <v>98</v>
      </c>
      <c r="N90" s="7">
        <f t="shared" si="4"/>
        <v>0.45896000000000048</v>
      </c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</row>
    <row r="91" spans="1:28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>
        <v>99</v>
      </c>
      <c r="N91" s="7">
        <f t="shared" si="4"/>
        <v>0.4594800000000005</v>
      </c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</row>
    <row r="92" spans="1:28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>
        <v>100</v>
      </c>
      <c r="N92" s="6">
        <v>0.46</v>
      </c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</row>
    <row r="93" spans="1:28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>
        <v>101</v>
      </c>
      <c r="N93" s="7">
        <f t="shared" ref="N93:N141" si="5">N92+(N$142-N$92)/50</f>
        <v>0.46024000000000004</v>
      </c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</row>
    <row r="94" spans="1:28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>
        <v>102</v>
      </c>
      <c r="N94" s="7">
        <f t="shared" si="5"/>
        <v>0.46048000000000006</v>
      </c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</row>
    <row r="95" spans="1:28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>
        <v>103</v>
      </c>
      <c r="N95" s="7">
        <f t="shared" si="5"/>
        <v>0.46072000000000007</v>
      </c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</row>
    <row r="96" spans="1:28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>
        <v>104</v>
      </c>
      <c r="N96" s="7">
        <f t="shared" si="5"/>
        <v>0.46096000000000009</v>
      </c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</row>
    <row r="97" spans="1:28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>
        <v>105</v>
      </c>
      <c r="N97" s="7">
        <f t="shared" si="5"/>
        <v>0.46120000000000011</v>
      </c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</row>
    <row r="98" spans="1:28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>
        <v>106</v>
      </c>
      <c r="N98" s="7">
        <f t="shared" si="5"/>
        <v>0.46144000000000013</v>
      </c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</row>
    <row r="99" spans="1:28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>
        <v>107</v>
      </c>
      <c r="N99" s="7">
        <f t="shared" si="5"/>
        <v>0.46168000000000015</v>
      </c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</row>
    <row r="100" spans="1:28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>
        <v>108</v>
      </c>
      <c r="N100" s="7">
        <f t="shared" si="5"/>
        <v>0.46192000000000016</v>
      </c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</row>
    <row r="101" spans="1:28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>
        <v>109</v>
      </c>
      <c r="N101" s="7">
        <f t="shared" si="5"/>
        <v>0.46216000000000018</v>
      </c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</row>
    <row r="102" spans="1:28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>
        <v>110</v>
      </c>
      <c r="N102" s="7">
        <f t="shared" si="5"/>
        <v>0.4624000000000002</v>
      </c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</row>
    <row r="103" spans="1:28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>
        <v>111</v>
      </c>
      <c r="N103" s="7">
        <f t="shared" si="5"/>
        <v>0.46264000000000022</v>
      </c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</row>
    <row r="104" spans="1:28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>
        <v>112</v>
      </c>
      <c r="N104" s="7">
        <f t="shared" si="5"/>
        <v>0.46288000000000024</v>
      </c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</row>
    <row r="105" spans="1:28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>
        <v>113</v>
      </c>
      <c r="N105" s="7">
        <f t="shared" si="5"/>
        <v>0.46312000000000025</v>
      </c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</row>
    <row r="106" spans="1:28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>
        <v>114</v>
      </c>
      <c r="N106" s="7">
        <f t="shared" si="5"/>
        <v>0.46336000000000027</v>
      </c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</row>
    <row r="107" spans="1:28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>
        <v>115</v>
      </c>
      <c r="N107" s="7">
        <f t="shared" si="5"/>
        <v>0.46360000000000029</v>
      </c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</row>
    <row r="108" spans="1:28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>
        <v>116</v>
      </c>
      <c r="N108" s="7">
        <f t="shared" si="5"/>
        <v>0.46384000000000031</v>
      </c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</row>
    <row r="109" spans="1:28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>
        <v>117</v>
      </c>
      <c r="N109" s="7">
        <f t="shared" si="5"/>
        <v>0.46408000000000033</v>
      </c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</row>
    <row r="110" spans="1:28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>
        <v>118</v>
      </c>
      <c r="N110" s="7">
        <f t="shared" si="5"/>
        <v>0.46432000000000034</v>
      </c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</row>
    <row r="111" spans="1:28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>
        <v>119</v>
      </c>
      <c r="N111" s="7">
        <f t="shared" si="5"/>
        <v>0.46456000000000036</v>
      </c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</row>
    <row r="112" spans="1:28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>
        <v>120</v>
      </c>
      <c r="N112" s="7">
        <f t="shared" si="5"/>
        <v>0.46480000000000038</v>
      </c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</row>
    <row r="113" spans="1:28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>
        <v>121</v>
      </c>
      <c r="N113" s="7">
        <f t="shared" si="5"/>
        <v>0.4650400000000004</v>
      </c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</row>
    <row r="114" spans="1:28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>
        <v>122</v>
      </c>
      <c r="N114" s="7">
        <f t="shared" si="5"/>
        <v>0.46528000000000042</v>
      </c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</row>
    <row r="115" spans="1:28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>
        <v>123</v>
      </c>
      <c r="N115" s="7">
        <f t="shared" si="5"/>
        <v>0.46552000000000043</v>
      </c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</row>
    <row r="116" spans="1:28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>
        <v>124</v>
      </c>
      <c r="N116" s="7">
        <f t="shared" si="5"/>
        <v>0.46576000000000045</v>
      </c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</row>
    <row r="117" spans="1:28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>
        <v>125</v>
      </c>
      <c r="N117" s="7">
        <f t="shared" si="5"/>
        <v>0.46600000000000047</v>
      </c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</row>
    <row r="118" spans="1:28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>
        <v>126</v>
      </c>
      <c r="N118" s="7">
        <f t="shared" si="5"/>
        <v>0.46624000000000049</v>
      </c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</row>
    <row r="119" spans="1:28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>
        <v>127</v>
      </c>
      <c r="N119" s="7">
        <f t="shared" si="5"/>
        <v>0.46648000000000051</v>
      </c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</row>
    <row r="120" spans="1:28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>
        <v>128</v>
      </c>
      <c r="N120" s="7">
        <f t="shared" si="5"/>
        <v>0.46672000000000052</v>
      </c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</row>
    <row r="121" spans="1:28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>
        <v>129</v>
      </c>
      <c r="N121" s="7">
        <f t="shared" si="5"/>
        <v>0.46696000000000054</v>
      </c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</row>
    <row r="122" spans="1:28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>
        <v>130</v>
      </c>
      <c r="N122" s="7">
        <f t="shared" si="5"/>
        <v>0.46720000000000056</v>
      </c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</row>
    <row r="123" spans="1:28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>
        <v>131</v>
      </c>
      <c r="N123" s="7">
        <f t="shared" si="5"/>
        <v>0.46744000000000058</v>
      </c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</row>
    <row r="124" spans="1:28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>
        <v>132</v>
      </c>
      <c r="N124" s="7">
        <f t="shared" si="5"/>
        <v>0.4676800000000006</v>
      </c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</row>
    <row r="125" spans="1:28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>
        <v>133</v>
      </c>
      <c r="N125" s="7">
        <f t="shared" si="5"/>
        <v>0.46792000000000061</v>
      </c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</row>
    <row r="126" spans="1:28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>
        <v>134</v>
      </c>
      <c r="N126" s="7">
        <f t="shared" si="5"/>
        <v>0.46816000000000063</v>
      </c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</row>
    <row r="127" spans="1:28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>
        <v>135</v>
      </c>
      <c r="N127" s="7">
        <f t="shared" si="5"/>
        <v>0.46840000000000065</v>
      </c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</row>
    <row r="128" spans="1:28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>
        <v>136</v>
      </c>
      <c r="N128" s="7">
        <f t="shared" si="5"/>
        <v>0.46864000000000067</v>
      </c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</row>
    <row r="129" spans="1:28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>
        <v>137</v>
      </c>
      <c r="N129" s="7">
        <f t="shared" si="5"/>
        <v>0.46888000000000069</v>
      </c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</row>
    <row r="130" spans="1:28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>
        <v>138</v>
      </c>
      <c r="N130" s="7">
        <f t="shared" si="5"/>
        <v>0.4691200000000007</v>
      </c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</row>
    <row r="131" spans="1:28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>
        <v>139</v>
      </c>
      <c r="N131" s="7">
        <f t="shared" si="5"/>
        <v>0.46936000000000072</v>
      </c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</row>
    <row r="132" spans="1:28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>
        <v>140</v>
      </c>
      <c r="N132" s="7">
        <f t="shared" si="5"/>
        <v>0.46960000000000074</v>
      </c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</row>
    <row r="133" spans="1:28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>
        <v>141</v>
      </c>
      <c r="N133" s="7">
        <f t="shared" si="5"/>
        <v>0.46984000000000076</v>
      </c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</row>
    <row r="134" spans="1:28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>
        <v>142</v>
      </c>
      <c r="N134" s="7">
        <f t="shared" si="5"/>
        <v>0.47008000000000078</v>
      </c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</row>
    <row r="135" spans="1:28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>
        <v>143</v>
      </c>
      <c r="N135" s="7">
        <f t="shared" si="5"/>
        <v>0.47032000000000079</v>
      </c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</row>
    <row r="136" spans="1:28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>
        <v>144</v>
      </c>
      <c r="N136" s="7">
        <f t="shared" si="5"/>
        <v>0.47056000000000081</v>
      </c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</row>
    <row r="137" spans="1:28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>
        <v>145</v>
      </c>
      <c r="N137" s="7">
        <f t="shared" si="5"/>
        <v>0.47080000000000083</v>
      </c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</row>
    <row r="138" spans="1:28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>
        <v>146</v>
      </c>
      <c r="N138" s="7">
        <f t="shared" si="5"/>
        <v>0.47104000000000085</v>
      </c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</row>
    <row r="139" spans="1:28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>
        <v>147</v>
      </c>
      <c r="N139" s="7">
        <f t="shared" si="5"/>
        <v>0.47128000000000086</v>
      </c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</row>
    <row r="140" spans="1:28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>
        <v>148</v>
      </c>
      <c r="N140" s="7">
        <f t="shared" si="5"/>
        <v>0.47152000000000088</v>
      </c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</row>
    <row r="141" spans="1:28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>
        <v>149</v>
      </c>
      <c r="N141" s="7">
        <f t="shared" si="5"/>
        <v>0.4717600000000009</v>
      </c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</row>
    <row r="142" spans="1:28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>
        <v>150</v>
      </c>
      <c r="N142" s="6">
        <v>0.47199999999999998</v>
      </c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</row>
    <row r="143" spans="1:28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>
        <v>151</v>
      </c>
      <c r="N143" s="7">
        <f t="shared" ref="N143:N291" si="6">N142+(N$292-N$142)/150</f>
        <v>0.47205333333333332</v>
      </c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</row>
    <row r="144" spans="1:28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>
        <v>152</v>
      </c>
      <c r="N144" s="7">
        <f t="shared" si="6"/>
        <v>0.47210666666666667</v>
      </c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</row>
    <row r="145" spans="1:28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>
        <v>153</v>
      </c>
      <c r="N145" s="7">
        <f t="shared" si="6"/>
        <v>0.47216000000000002</v>
      </c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</row>
    <row r="146" spans="1:28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>
        <v>154</v>
      </c>
      <c r="N146" s="7">
        <f t="shared" si="6"/>
        <v>0.47221333333333337</v>
      </c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</row>
    <row r="147" spans="1:28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>
        <v>155</v>
      </c>
      <c r="N147" s="7">
        <f t="shared" si="6"/>
        <v>0.47226666666666672</v>
      </c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</row>
    <row r="148" spans="1:28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>
        <v>156</v>
      </c>
      <c r="N148" s="7">
        <f t="shared" si="6"/>
        <v>0.47232000000000007</v>
      </c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</row>
    <row r="149" spans="1:28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>
        <v>157</v>
      </c>
      <c r="N149" s="7">
        <f t="shared" si="6"/>
        <v>0.47237333333333342</v>
      </c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</row>
    <row r="150" spans="1:28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>
        <v>158</v>
      </c>
      <c r="N150" s="7">
        <f t="shared" si="6"/>
        <v>0.47242666666666677</v>
      </c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</row>
    <row r="151" spans="1:28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>
        <v>159</v>
      </c>
      <c r="N151" s="7">
        <f t="shared" si="6"/>
        <v>0.47248000000000012</v>
      </c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</row>
    <row r="152" spans="1:28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>
        <v>160</v>
      </c>
      <c r="N152" s="7">
        <f t="shared" si="6"/>
        <v>0.47253333333333347</v>
      </c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</row>
    <row r="153" spans="1:28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>
        <v>161</v>
      </c>
      <c r="N153" s="7">
        <f t="shared" si="6"/>
        <v>0.47258666666666682</v>
      </c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</row>
    <row r="154" spans="1:28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>
        <v>162</v>
      </c>
      <c r="N154" s="7">
        <f t="shared" si="6"/>
        <v>0.47264000000000017</v>
      </c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</row>
    <row r="155" spans="1:28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>
        <v>163</v>
      </c>
      <c r="N155" s="7">
        <f t="shared" si="6"/>
        <v>0.47269333333333352</v>
      </c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</row>
    <row r="156" spans="1:28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>
        <v>164</v>
      </c>
      <c r="N156" s="7">
        <f t="shared" si="6"/>
        <v>0.47274666666666687</v>
      </c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</row>
    <row r="157" spans="1:28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>
        <v>165</v>
      </c>
      <c r="N157" s="7">
        <f t="shared" si="6"/>
        <v>0.47280000000000022</v>
      </c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</row>
    <row r="158" spans="1:28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>
        <v>166</v>
      </c>
      <c r="N158" s="7">
        <f t="shared" si="6"/>
        <v>0.47285333333333357</v>
      </c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</row>
    <row r="159" spans="1:28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>
        <v>167</v>
      </c>
      <c r="N159" s="7">
        <f t="shared" si="6"/>
        <v>0.47290666666666692</v>
      </c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</row>
    <row r="160" spans="1:28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>
        <v>168</v>
      </c>
      <c r="N160" s="7">
        <f t="shared" si="6"/>
        <v>0.47296000000000027</v>
      </c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</row>
    <row r="161" spans="1:28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>
        <v>169</v>
      </c>
      <c r="N161" s="7">
        <f t="shared" si="6"/>
        <v>0.47301333333333362</v>
      </c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</row>
    <row r="162" spans="1:28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>
        <v>170</v>
      </c>
      <c r="N162" s="7">
        <f t="shared" si="6"/>
        <v>0.47306666666666697</v>
      </c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</row>
    <row r="163" spans="1:28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>
        <v>171</v>
      </c>
      <c r="N163" s="7">
        <f t="shared" si="6"/>
        <v>0.47312000000000032</v>
      </c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</row>
    <row r="164" spans="1:28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>
        <v>172</v>
      </c>
      <c r="N164" s="7">
        <f t="shared" si="6"/>
        <v>0.47317333333333367</v>
      </c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  <c r="AB164" s="2"/>
    </row>
    <row r="165" spans="1:28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>
        <v>173</v>
      </c>
      <c r="N165" s="7">
        <f t="shared" si="6"/>
        <v>0.47322666666666702</v>
      </c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</row>
    <row r="166" spans="1:28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>
        <v>174</v>
      </c>
      <c r="N166" s="7">
        <f t="shared" si="6"/>
        <v>0.47328000000000037</v>
      </c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</row>
    <row r="167" spans="1:28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>
        <v>175</v>
      </c>
      <c r="N167" s="7">
        <f t="shared" si="6"/>
        <v>0.47333333333333372</v>
      </c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</row>
    <row r="168" spans="1:28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>
        <v>176</v>
      </c>
      <c r="N168" s="7">
        <f t="shared" si="6"/>
        <v>0.47338666666666707</v>
      </c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</row>
    <row r="169" spans="1:28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>
        <v>177</v>
      </c>
      <c r="N169" s="7">
        <f t="shared" si="6"/>
        <v>0.47344000000000042</v>
      </c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</row>
    <row r="170" spans="1:28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>
        <v>178</v>
      </c>
      <c r="N170" s="7">
        <f t="shared" si="6"/>
        <v>0.47349333333333377</v>
      </c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  <c r="AB170" s="2"/>
    </row>
    <row r="171" spans="1:28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>
        <v>179</v>
      </c>
      <c r="N171" s="7">
        <f t="shared" si="6"/>
        <v>0.47354666666666712</v>
      </c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</row>
    <row r="172" spans="1:28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>
        <v>180</v>
      </c>
      <c r="N172" s="7">
        <f t="shared" si="6"/>
        <v>0.47360000000000047</v>
      </c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</row>
    <row r="173" spans="1:28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>
        <v>181</v>
      </c>
      <c r="N173" s="7">
        <f t="shared" si="6"/>
        <v>0.47365333333333381</v>
      </c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</row>
    <row r="174" spans="1:28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>
        <v>182</v>
      </c>
      <c r="N174" s="7">
        <f t="shared" si="6"/>
        <v>0.47370666666666716</v>
      </c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</row>
    <row r="175" spans="1:28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>
        <v>183</v>
      </c>
      <c r="N175" s="7">
        <f t="shared" si="6"/>
        <v>0.47376000000000051</v>
      </c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</row>
    <row r="176" spans="1:28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>
        <v>184</v>
      </c>
      <c r="N176" s="7">
        <f t="shared" si="6"/>
        <v>0.47381333333333386</v>
      </c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  <c r="AB176" s="2"/>
    </row>
    <row r="177" spans="1:28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>
        <v>185</v>
      </c>
      <c r="N177" s="7">
        <f t="shared" si="6"/>
        <v>0.47386666666666721</v>
      </c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</row>
    <row r="178" spans="1:28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>
        <v>186</v>
      </c>
      <c r="N178" s="7">
        <f t="shared" si="6"/>
        <v>0.47392000000000056</v>
      </c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</row>
    <row r="179" spans="1:28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>
        <v>187</v>
      </c>
      <c r="N179" s="7">
        <f t="shared" si="6"/>
        <v>0.47397333333333391</v>
      </c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</row>
    <row r="180" spans="1:28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>
        <v>188</v>
      </c>
      <c r="N180" s="7">
        <f t="shared" si="6"/>
        <v>0.47402666666666726</v>
      </c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</row>
    <row r="181" spans="1:28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>
        <v>189</v>
      </c>
      <c r="N181" s="7">
        <f t="shared" si="6"/>
        <v>0.47408000000000061</v>
      </c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</row>
    <row r="182" spans="1:28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>
        <v>190</v>
      </c>
      <c r="N182" s="7">
        <f t="shared" si="6"/>
        <v>0.47413333333333396</v>
      </c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  <c r="AB182" s="2"/>
    </row>
    <row r="183" spans="1:28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>
        <v>191</v>
      </c>
      <c r="N183" s="7">
        <f t="shared" si="6"/>
        <v>0.47418666666666731</v>
      </c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</row>
    <row r="184" spans="1:28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>
        <v>192</v>
      </c>
      <c r="N184" s="7">
        <f t="shared" si="6"/>
        <v>0.47424000000000066</v>
      </c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</row>
    <row r="185" spans="1:28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>
        <v>193</v>
      </c>
      <c r="N185" s="7">
        <f t="shared" si="6"/>
        <v>0.47429333333333401</v>
      </c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</row>
    <row r="186" spans="1:28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>
        <v>194</v>
      </c>
      <c r="N186" s="7">
        <f t="shared" si="6"/>
        <v>0.47434666666666736</v>
      </c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</row>
    <row r="187" spans="1:28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>
        <v>195</v>
      </c>
      <c r="N187" s="7">
        <f t="shared" si="6"/>
        <v>0.47440000000000071</v>
      </c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</row>
    <row r="188" spans="1:28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>
        <v>196</v>
      </c>
      <c r="N188" s="7">
        <f t="shared" si="6"/>
        <v>0.47445333333333406</v>
      </c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</row>
    <row r="189" spans="1:28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>
        <v>197</v>
      </c>
      <c r="N189" s="7">
        <f t="shared" si="6"/>
        <v>0.47450666666666741</v>
      </c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</row>
    <row r="190" spans="1:28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>
        <v>198</v>
      </c>
      <c r="N190" s="7">
        <f t="shared" si="6"/>
        <v>0.47456000000000076</v>
      </c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</row>
    <row r="191" spans="1:28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>
        <v>199</v>
      </c>
      <c r="N191" s="7">
        <f t="shared" si="6"/>
        <v>0.47461333333333411</v>
      </c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</row>
    <row r="192" spans="1:28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>
        <v>200</v>
      </c>
      <c r="N192" s="7">
        <f t="shared" si="6"/>
        <v>0.47466666666666746</v>
      </c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</row>
    <row r="193" spans="1:28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>
        <v>201</v>
      </c>
      <c r="N193" s="7">
        <f t="shared" si="6"/>
        <v>0.47472000000000081</v>
      </c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</row>
    <row r="194" spans="1:28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>
        <v>202</v>
      </c>
      <c r="N194" s="7">
        <f t="shared" si="6"/>
        <v>0.47477333333333416</v>
      </c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  <c r="AB194" s="2"/>
    </row>
    <row r="195" spans="1:28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>
        <v>203</v>
      </c>
      <c r="N195" s="7">
        <f t="shared" si="6"/>
        <v>0.47482666666666751</v>
      </c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</row>
    <row r="196" spans="1:28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>
        <v>204</v>
      </c>
      <c r="N196" s="7">
        <f t="shared" si="6"/>
        <v>0.47488000000000086</v>
      </c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</row>
    <row r="197" spans="1:28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>
        <v>205</v>
      </c>
      <c r="N197" s="7">
        <f t="shared" si="6"/>
        <v>0.47493333333333421</v>
      </c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</row>
    <row r="198" spans="1:28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>
        <v>206</v>
      </c>
      <c r="N198" s="7">
        <f t="shared" si="6"/>
        <v>0.47498666666666756</v>
      </c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</row>
    <row r="199" spans="1:28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>
        <v>207</v>
      </c>
      <c r="N199" s="7">
        <f t="shared" si="6"/>
        <v>0.47504000000000091</v>
      </c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</row>
    <row r="200" spans="1:28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>
        <v>208</v>
      </c>
      <c r="N200" s="7">
        <f t="shared" si="6"/>
        <v>0.47509333333333426</v>
      </c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  <c r="AB200" s="2"/>
    </row>
    <row r="201" spans="1:28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>
        <v>209</v>
      </c>
      <c r="N201" s="7">
        <f t="shared" si="6"/>
        <v>0.47514666666666761</v>
      </c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</row>
    <row r="202" spans="1:28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>
        <v>210</v>
      </c>
      <c r="N202" s="7">
        <f t="shared" si="6"/>
        <v>0.47520000000000095</v>
      </c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</row>
    <row r="203" spans="1:28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>
        <v>211</v>
      </c>
      <c r="N203" s="7">
        <f t="shared" si="6"/>
        <v>0.4752533333333343</v>
      </c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</row>
    <row r="204" spans="1:28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>
        <v>212</v>
      </c>
      <c r="N204" s="7">
        <f t="shared" si="6"/>
        <v>0.47530666666666765</v>
      </c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</row>
    <row r="205" spans="1:28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>
        <v>213</v>
      </c>
      <c r="N205" s="7">
        <f t="shared" si="6"/>
        <v>0.475360000000001</v>
      </c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</row>
    <row r="206" spans="1:28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>
        <v>214</v>
      </c>
      <c r="N206" s="7">
        <f t="shared" si="6"/>
        <v>0.47541333333333435</v>
      </c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2"/>
    </row>
    <row r="207" spans="1:28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>
        <v>215</v>
      </c>
      <c r="N207" s="7">
        <f t="shared" si="6"/>
        <v>0.4754666666666677</v>
      </c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</row>
    <row r="208" spans="1:28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>
        <v>216</v>
      </c>
      <c r="N208" s="7">
        <f t="shared" si="6"/>
        <v>0.47552000000000105</v>
      </c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</row>
    <row r="209" spans="1:28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>
        <v>217</v>
      </c>
      <c r="N209" s="7">
        <f t="shared" si="6"/>
        <v>0.4755733333333344</v>
      </c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</row>
    <row r="210" spans="1:28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>
        <v>218</v>
      </c>
      <c r="N210" s="7">
        <f t="shared" si="6"/>
        <v>0.47562666666666775</v>
      </c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</row>
    <row r="211" spans="1:28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>
        <v>219</v>
      </c>
      <c r="N211" s="7">
        <f t="shared" si="6"/>
        <v>0.4756800000000011</v>
      </c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</row>
    <row r="212" spans="1:28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>
        <v>220</v>
      </c>
      <c r="N212" s="7">
        <f t="shared" si="6"/>
        <v>0.47573333333333445</v>
      </c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</row>
    <row r="213" spans="1:28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>
        <v>221</v>
      </c>
      <c r="N213" s="7">
        <f t="shared" si="6"/>
        <v>0.4757866666666678</v>
      </c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</row>
    <row r="214" spans="1:28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>
        <v>222</v>
      </c>
      <c r="N214" s="7">
        <f t="shared" si="6"/>
        <v>0.47584000000000115</v>
      </c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</row>
    <row r="215" spans="1:28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>
        <v>223</v>
      </c>
      <c r="N215" s="7">
        <f t="shared" si="6"/>
        <v>0.4758933333333345</v>
      </c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</row>
    <row r="216" spans="1:28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>
        <v>224</v>
      </c>
      <c r="N216" s="7">
        <f t="shared" si="6"/>
        <v>0.47594666666666785</v>
      </c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</row>
    <row r="217" spans="1:28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>
        <v>225</v>
      </c>
      <c r="N217" s="7">
        <f t="shared" si="6"/>
        <v>0.4760000000000012</v>
      </c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</row>
    <row r="218" spans="1:28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>
        <v>226</v>
      </c>
      <c r="N218" s="7">
        <f t="shared" si="6"/>
        <v>0.47605333333333455</v>
      </c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</row>
    <row r="219" spans="1:28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>
        <v>227</v>
      </c>
      <c r="N219" s="7">
        <f t="shared" si="6"/>
        <v>0.4761066666666679</v>
      </c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</row>
    <row r="220" spans="1:28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>
        <v>228</v>
      </c>
      <c r="N220" s="7">
        <f t="shared" si="6"/>
        <v>0.47616000000000125</v>
      </c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</row>
    <row r="221" spans="1:28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>
        <v>229</v>
      </c>
      <c r="N221" s="7">
        <f t="shared" si="6"/>
        <v>0.4762133333333346</v>
      </c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</row>
    <row r="222" spans="1:28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>
        <v>230</v>
      </c>
      <c r="N222" s="7">
        <f t="shared" si="6"/>
        <v>0.47626666666666795</v>
      </c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</row>
    <row r="223" spans="1:28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>
        <v>231</v>
      </c>
      <c r="N223" s="7">
        <f t="shared" si="6"/>
        <v>0.4763200000000013</v>
      </c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</row>
    <row r="224" spans="1:28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>
        <v>232</v>
      </c>
      <c r="N224" s="7">
        <f t="shared" si="6"/>
        <v>0.47637333333333465</v>
      </c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</row>
    <row r="225" spans="1:28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>
        <v>233</v>
      </c>
      <c r="N225" s="7">
        <f t="shared" si="6"/>
        <v>0.476426666666668</v>
      </c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</row>
    <row r="226" spans="1:28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>
        <v>234</v>
      </c>
      <c r="N226" s="7">
        <f t="shared" si="6"/>
        <v>0.47648000000000135</v>
      </c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</row>
    <row r="227" spans="1:28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>
        <v>235</v>
      </c>
      <c r="N227" s="7">
        <f t="shared" si="6"/>
        <v>0.4765333333333347</v>
      </c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</row>
    <row r="228" spans="1:28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>
        <v>236</v>
      </c>
      <c r="N228" s="7">
        <f t="shared" si="6"/>
        <v>0.47658666666666805</v>
      </c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</row>
    <row r="229" spans="1:28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>
        <v>237</v>
      </c>
      <c r="N229" s="7">
        <f t="shared" si="6"/>
        <v>0.4766400000000014</v>
      </c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</row>
    <row r="230" spans="1:28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>
        <v>238</v>
      </c>
      <c r="N230" s="7">
        <f t="shared" si="6"/>
        <v>0.47669333333333475</v>
      </c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</row>
    <row r="231" spans="1:28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>
        <v>239</v>
      </c>
      <c r="N231" s="7">
        <f t="shared" si="6"/>
        <v>0.4767466666666681</v>
      </c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</row>
    <row r="232" spans="1:28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>
        <v>240</v>
      </c>
      <c r="N232" s="7">
        <f t="shared" si="6"/>
        <v>0.47680000000000144</v>
      </c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</row>
    <row r="233" spans="1:28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>
        <v>241</v>
      </c>
      <c r="N233" s="7">
        <f t="shared" si="6"/>
        <v>0.47685333333333479</v>
      </c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</row>
    <row r="234" spans="1:28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>
        <v>242</v>
      </c>
      <c r="N234" s="7">
        <f t="shared" si="6"/>
        <v>0.47690666666666814</v>
      </c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</row>
    <row r="235" spans="1:28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>
        <v>243</v>
      </c>
      <c r="N235" s="7">
        <f t="shared" si="6"/>
        <v>0.47696000000000149</v>
      </c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</row>
    <row r="236" spans="1:28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>
        <v>244</v>
      </c>
      <c r="N236" s="7">
        <f t="shared" si="6"/>
        <v>0.47701333333333484</v>
      </c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</row>
    <row r="237" spans="1:28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>
        <v>245</v>
      </c>
      <c r="N237" s="7">
        <f t="shared" si="6"/>
        <v>0.47706666666666819</v>
      </c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</row>
    <row r="238" spans="1:28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>
        <v>246</v>
      </c>
      <c r="N238" s="7">
        <f t="shared" si="6"/>
        <v>0.47712000000000154</v>
      </c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</row>
    <row r="239" spans="1:28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>
        <v>247</v>
      </c>
      <c r="N239" s="7">
        <f t="shared" si="6"/>
        <v>0.47717333333333489</v>
      </c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</row>
    <row r="240" spans="1:28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>
        <v>248</v>
      </c>
      <c r="N240" s="7">
        <f t="shared" si="6"/>
        <v>0.47722666666666824</v>
      </c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</row>
    <row r="241" spans="1:28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>
        <v>249</v>
      </c>
      <c r="N241" s="7">
        <f t="shared" si="6"/>
        <v>0.47728000000000159</v>
      </c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</row>
    <row r="242" spans="1:28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>
        <v>250</v>
      </c>
      <c r="N242" s="7">
        <f t="shared" si="6"/>
        <v>0.47733333333333494</v>
      </c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</row>
    <row r="243" spans="1:28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>
        <v>251</v>
      </c>
      <c r="N243" s="7">
        <f t="shared" si="6"/>
        <v>0.47738666666666829</v>
      </c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</row>
    <row r="244" spans="1:28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>
        <v>252</v>
      </c>
      <c r="N244" s="7">
        <f t="shared" si="6"/>
        <v>0.47744000000000164</v>
      </c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</row>
    <row r="245" spans="1:28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>
        <v>253</v>
      </c>
      <c r="N245" s="7">
        <f t="shared" si="6"/>
        <v>0.47749333333333499</v>
      </c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</row>
    <row r="246" spans="1:28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>
        <v>254</v>
      </c>
      <c r="N246" s="7">
        <f t="shared" si="6"/>
        <v>0.47754666666666834</v>
      </c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</row>
    <row r="247" spans="1:28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>
        <v>255</v>
      </c>
      <c r="N247" s="7">
        <f t="shared" si="6"/>
        <v>0.47760000000000169</v>
      </c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</row>
    <row r="248" spans="1:28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>
        <v>256</v>
      </c>
      <c r="N248" s="7">
        <f t="shared" si="6"/>
        <v>0.47765333333333504</v>
      </c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</row>
    <row r="249" spans="1:28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>
        <v>257</v>
      </c>
      <c r="N249" s="7">
        <f t="shared" si="6"/>
        <v>0.47770666666666839</v>
      </c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</row>
    <row r="250" spans="1:28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>
        <v>258</v>
      </c>
      <c r="N250" s="7">
        <f t="shared" si="6"/>
        <v>0.47776000000000174</v>
      </c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</row>
    <row r="251" spans="1:28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>
        <v>259</v>
      </c>
      <c r="N251" s="7">
        <f t="shared" si="6"/>
        <v>0.47781333333333509</v>
      </c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</row>
    <row r="252" spans="1:28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>
        <v>260</v>
      </c>
      <c r="N252" s="7">
        <f t="shared" si="6"/>
        <v>0.47786666666666844</v>
      </c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</row>
    <row r="253" spans="1:28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>
        <v>261</v>
      </c>
      <c r="N253" s="7">
        <f t="shared" si="6"/>
        <v>0.47792000000000179</v>
      </c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</row>
    <row r="254" spans="1:28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>
        <v>262</v>
      </c>
      <c r="N254" s="7">
        <f t="shared" si="6"/>
        <v>0.47797333333333514</v>
      </c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</row>
    <row r="255" spans="1:28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>
        <v>263</v>
      </c>
      <c r="N255" s="7">
        <f t="shared" si="6"/>
        <v>0.47802666666666849</v>
      </c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</row>
    <row r="256" spans="1:28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>
        <v>264</v>
      </c>
      <c r="N256" s="7">
        <f t="shared" si="6"/>
        <v>0.47808000000000184</v>
      </c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</row>
    <row r="257" spans="1:28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>
        <v>265</v>
      </c>
      <c r="N257" s="7">
        <f t="shared" si="6"/>
        <v>0.47813333333333519</v>
      </c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</row>
    <row r="258" spans="1:28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>
        <v>266</v>
      </c>
      <c r="N258" s="7">
        <f t="shared" si="6"/>
        <v>0.47818666666666854</v>
      </c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</row>
    <row r="259" spans="1:28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>
        <v>267</v>
      </c>
      <c r="N259" s="7">
        <f t="shared" si="6"/>
        <v>0.47824000000000189</v>
      </c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</row>
    <row r="260" spans="1:28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>
        <v>268</v>
      </c>
      <c r="N260" s="7">
        <f t="shared" si="6"/>
        <v>0.47829333333333524</v>
      </c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</row>
    <row r="261" spans="1:28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>
        <v>269</v>
      </c>
      <c r="N261" s="7">
        <f t="shared" si="6"/>
        <v>0.47834666666666859</v>
      </c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</row>
    <row r="262" spans="1:28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>
        <v>270</v>
      </c>
      <c r="N262" s="7">
        <f t="shared" si="6"/>
        <v>0.47840000000000193</v>
      </c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</row>
    <row r="263" spans="1:28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>
        <v>271</v>
      </c>
      <c r="N263" s="7">
        <f t="shared" si="6"/>
        <v>0.47845333333333528</v>
      </c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</row>
    <row r="264" spans="1:28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>
        <v>272</v>
      </c>
      <c r="N264" s="7">
        <f t="shared" si="6"/>
        <v>0.47850666666666863</v>
      </c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</row>
    <row r="265" spans="1:28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>
        <v>273</v>
      </c>
      <c r="N265" s="7">
        <f t="shared" si="6"/>
        <v>0.47856000000000198</v>
      </c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</row>
    <row r="266" spans="1:28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>
        <v>274</v>
      </c>
      <c r="N266" s="7">
        <f t="shared" si="6"/>
        <v>0.47861333333333533</v>
      </c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</row>
    <row r="267" spans="1:28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>
        <v>275</v>
      </c>
      <c r="N267" s="7">
        <f t="shared" si="6"/>
        <v>0.47866666666666868</v>
      </c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</row>
    <row r="268" spans="1:28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>
        <v>276</v>
      </c>
      <c r="N268" s="7">
        <f t="shared" si="6"/>
        <v>0.47872000000000203</v>
      </c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</row>
    <row r="269" spans="1:28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>
        <v>277</v>
      </c>
      <c r="N269" s="7">
        <f t="shared" si="6"/>
        <v>0.47877333333333538</v>
      </c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</row>
    <row r="270" spans="1:28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>
        <v>278</v>
      </c>
      <c r="N270" s="7">
        <f t="shared" si="6"/>
        <v>0.47882666666666873</v>
      </c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</row>
    <row r="271" spans="1:28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>
        <v>279</v>
      </c>
      <c r="N271" s="7">
        <f t="shared" si="6"/>
        <v>0.47888000000000208</v>
      </c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</row>
    <row r="272" spans="1:28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>
        <v>280</v>
      </c>
      <c r="N272" s="7">
        <f t="shared" si="6"/>
        <v>0.47893333333333543</v>
      </c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</row>
    <row r="273" spans="1:28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>
        <v>281</v>
      </c>
      <c r="N273" s="7">
        <f t="shared" si="6"/>
        <v>0.47898666666666878</v>
      </c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</row>
    <row r="274" spans="1:28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>
        <v>282</v>
      </c>
      <c r="N274" s="7">
        <f t="shared" si="6"/>
        <v>0.47904000000000213</v>
      </c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</row>
    <row r="275" spans="1:28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>
        <v>283</v>
      </c>
      <c r="N275" s="7">
        <f t="shared" si="6"/>
        <v>0.47909333333333548</v>
      </c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</row>
    <row r="276" spans="1:28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>
        <v>284</v>
      </c>
      <c r="N276" s="7">
        <f t="shared" si="6"/>
        <v>0.47914666666666883</v>
      </c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</row>
    <row r="277" spans="1:28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>
        <v>285</v>
      </c>
      <c r="N277" s="7">
        <f t="shared" si="6"/>
        <v>0.47920000000000218</v>
      </c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</row>
    <row r="278" spans="1:28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>
        <v>286</v>
      </c>
      <c r="N278" s="7">
        <f t="shared" si="6"/>
        <v>0.47925333333333553</v>
      </c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</row>
    <row r="279" spans="1:28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>
        <v>287</v>
      </c>
      <c r="N279" s="7">
        <f t="shared" si="6"/>
        <v>0.47930666666666888</v>
      </c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</row>
    <row r="280" spans="1:28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>
        <v>288</v>
      </c>
      <c r="N280" s="7">
        <f t="shared" si="6"/>
        <v>0.47936000000000223</v>
      </c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</row>
    <row r="281" spans="1:28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>
        <v>289</v>
      </c>
      <c r="N281" s="7">
        <f t="shared" si="6"/>
        <v>0.47941333333333558</v>
      </c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</row>
    <row r="282" spans="1:28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>
        <v>290</v>
      </c>
      <c r="N282" s="7">
        <f t="shared" si="6"/>
        <v>0.47946666666666893</v>
      </c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</row>
    <row r="283" spans="1:28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>
        <v>291</v>
      </c>
      <c r="N283" s="7">
        <f t="shared" si="6"/>
        <v>0.47952000000000228</v>
      </c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</row>
    <row r="284" spans="1:28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>
        <v>292</v>
      </c>
      <c r="N284" s="7">
        <f t="shared" si="6"/>
        <v>0.47957333333333563</v>
      </c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</row>
    <row r="285" spans="1:28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>
        <v>293</v>
      </c>
      <c r="N285" s="7">
        <f t="shared" si="6"/>
        <v>0.47962666666666898</v>
      </c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</row>
    <row r="286" spans="1:28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>
        <v>294</v>
      </c>
      <c r="N286" s="7">
        <f t="shared" si="6"/>
        <v>0.47968000000000233</v>
      </c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</row>
    <row r="287" spans="1:28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>
        <v>295</v>
      </c>
      <c r="N287" s="7">
        <f t="shared" si="6"/>
        <v>0.47973333333333568</v>
      </c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</row>
    <row r="288" spans="1:28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>
        <v>296</v>
      </c>
      <c r="N288" s="7">
        <f t="shared" si="6"/>
        <v>0.47978666666666903</v>
      </c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</row>
    <row r="289" spans="1:28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>
        <v>297</v>
      </c>
      <c r="N289" s="7">
        <f t="shared" si="6"/>
        <v>0.47984000000000238</v>
      </c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</row>
    <row r="290" spans="1:28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>
        <v>298</v>
      </c>
      <c r="N290" s="7">
        <f t="shared" si="6"/>
        <v>0.47989333333333573</v>
      </c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</row>
    <row r="291" spans="1:28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>
        <v>299</v>
      </c>
      <c r="N291" s="7">
        <f t="shared" si="6"/>
        <v>0.47994666666666908</v>
      </c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</row>
    <row r="292" spans="1:28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>
        <v>300</v>
      </c>
      <c r="N292" s="6">
        <v>0.48</v>
      </c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</row>
    <row r="293" spans="1:28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>
        <v>301</v>
      </c>
      <c r="N293" s="7">
        <f t="shared" ref="N293:N391" si="7">N292+(N$392-N$292)/100</f>
        <v>0.48004999999999998</v>
      </c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</row>
    <row r="294" spans="1:28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>
        <v>302</v>
      </c>
      <c r="N294" s="7">
        <f t="shared" si="7"/>
        <v>0.48009999999999997</v>
      </c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</row>
    <row r="295" spans="1:28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>
        <v>303</v>
      </c>
      <c r="N295" s="7">
        <f t="shared" si="7"/>
        <v>0.48014999999999997</v>
      </c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</row>
    <row r="296" spans="1:28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>
        <v>304</v>
      </c>
      <c r="N296" s="7">
        <f t="shared" si="7"/>
        <v>0.48019999999999996</v>
      </c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</row>
    <row r="297" spans="1:28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>
        <v>305</v>
      </c>
      <c r="N297" s="7">
        <f t="shared" si="7"/>
        <v>0.48024999999999995</v>
      </c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</row>
    <row r="298" spans="1:28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>
        <v>306</v>
      </c>
      <c r="N298" s="7">
        <f t="shared" si="7"/>
        <v>0.48029999999999995</v>
      </c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</row>
    <row r="299" spans="1:28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>
        <v>307</v>
      </c>
      <c r="N299" s="7">
        <f t="shared" si="7"/>
        <v>0.48034999999999994</v>
      </c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</row>
    <row r="300" spans="1:28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>
        <v>308</v>
      </c>
      <c r="N300" s="7">
        <f t="shared" si="7"/>
        <v>0.48039999999999994</v>
      </c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</row>
    <row r="301" spans="1:28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>
        <v>309</v>
      </c>
      <c r="N301" s="7">
        <f t="shared" si="7"/>
        <v>0.48044999999999993</v>
      </c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</row>
    <row r="302" spans="1:28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>
        <v>310</v>
      </c>
      <c r="N302" s="7">
        <f t="shared" si="7"/>
        <v>0.48049999999999993</v>
      </c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</row>
    <row r="303" spans="1:28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>
        <v>311</v>
      </c>
      <c r="N303" s="7">
        <f t="shared" si="7"/>
        <v>0.48054999999999992</v>
      </c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</row>
    <row r="304" spans="1:28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>
        <v>312</v>
      </c>
      <c r="N304" s="7">
        <f t="shared" si="7"/>
        <v>0.48059999999999992</v>
      </c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</row>
    <row r="305" spans="1:28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>
        <v>313</v>
      </c>
      <c r="N305" s="7">
        <f t="shared" si="7"/>
        <v>0.48064999999999991</v>
      </c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</row>
    <row r="306" spans="1:28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>
        <v>314</v>
      </c>
      <c r="N306" s="7">
        <f t="shared" si="7"/>
        <v>0.48069999999999991</v>
      </c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</row>
    <row r="307" spans="1:28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>
        <v>315</v>
      </c>
      <c r="N307" s="7">
        <f t="shared" si="7"/>
        <v>0.4807499999999999</v>
      </c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</row>
    <row r="308" spans="1:28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>
        <v>316</v>
      </c>
      <c r="N308" s="7">
        <f t="shared" si="7"/>
        <v>0.48079999999999989</v>
      </c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</row>
    <row r="309" spans="1:28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>
        <v>317</v>
      </c>
      <c r="N309" s="7">
        <f t="shared" si="7"/>
        <v>0.48084999999999989</v>
      </c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</row>
    <row r="310" spans="1:28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>
        <v>318</v>
      </c>
      <c r="N310" s="7">
        <f t="shared" si="7"/>
        <v>0.48089999999999988</v>
      </c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</row>
    <row r="311" spans="1:28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>
        <v>319</v>
      </c>
      <c r="N311" s="7">
        <f t="shared" si="7"/>
        <v>0.48094999999999988</v>
      </c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</row>
    <row r="312" spans="1:28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>
        <v>320</v>
      </c>
      <c r="N312" s="7">
        <f t="shared" si="7"/>
        <v>0.48099999999999987</v>
      </c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</row>
    <row r="313" spans="1:28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>
        <v>321</v>
      </c>
      <c r="N313" s="7">
        <f t="shared" si="7"/>
        <v>0.48104999999999987</v>
      </c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</row>
    <row r="314" spans="1:28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>
        <v>322</v>
      </c>
      <c r="N314" s="7">
        <f t="shared" si="7"/>
        <v>0.48109999999999986</v>
      </c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</row>
    <row r="315" spans="1:28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>
        <v>323</v>
      </c>
      <c r="N315" s="7">
        <f t="shared" si="7"/>
        <v>0.48114999999999986</v>
      </c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</row>
    <row r="316" spans="1:28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>
        <v>324</v>
      </c>
      <c r="N316" s="7">
        <f t="shared" si="7"/>
        <v>0.48119999999999985</v>
      </c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</row>
    <row r="317" spans="1:28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>
        <v>325</v>
      </c>
      <c r="N317" s="7">
        <f t="shared" si="7"/>
        <v>0.48124999999999984</v>
      </c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</row>
    <row r="318" spans="1:28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>
        <v>326</v>
      </c>
      <c r="N318" s="7">
        <f t="shared" si="7"/>
        <v>0.48129999999999984</v>
      </c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</row>
    <row r="319" spans="1:28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>
        <v>327</v>
      </c>
      <c r="N319" s="7">
        <f t="shared" si="7"/>
        <v>0.48134999999999983</v>
      </c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</row>
    <row r="320" spans="1:28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>
        <v>328</v>
      </c>
      <c r="N320" s="7">
        <f t="shared" si="7"/>
        <v>0.48139999999999983</v>
      </c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</row>
    <row r="321" spans="1:28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>
        <v>329</v>
      </c>
      <c r="N321" s="7">
        <f t="shared" si="7"/>
        <v>0.48144999999999982</v>
      </c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</row>
    <row r="322" spans="1:28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>
        <v>330</v>
      </c>
      <c r="N322" s="7">
        <f t="shared" si="7"/>
        <v>0.48149999999999982</v>
      </c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</row>
    <row r="323" spans="1:28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>
        <v>331</v>
      </c>
      <c r="N323" s="7">
        <f t="shared" si="7"/>
        <v>0.48154999999999981</v>
      </c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</row>
    <row r="324" spans="1:28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>
        <v>332</v>
      </c>
      <c r="N324" s="7">
        <f t="shared" si="7"/>
        <v>0.48159999999999981</v>
      </c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</row>
    <row r="325" spans="1:28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>
        <v>333</v>
      </c>
      <c r="N325" s="7">
        <f t="shared" si="7"/>
        <v>0.4816499999999998</v>
      </c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</row>
    <row r="326" spans="1:28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>
        <v>334</v>
      </c>
      <c r="N326" s="7">
        <f t="shared" si="7"/>
        <v>0.4816999999999998</v>
      </c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</row>
    <row r="327" spans="1:28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>
        <v>335</v>
      </c>
      <c r="N327" s="7">
        <f t="shared" si="7"/>
        <v>0.48174999999999979</v>
      </c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</row>
    <row r="328" spans="1:28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>
        <v>336</v>
      </c>
      <c r="N328" s="7">
        <f t="shared" si="7"/>
        <v>0.48179999999999978</v>
      </c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</row>
    <row r="329" spans="1:28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>
        <v>337</v>
      </c>
      <c r="N329" s="7">
        <f t="shared" si="7"/>
        <v>0.48184999999999978</v>
      </c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</row>
    <row r="330" spans="1:28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>
        <v>338</v>
      </c>
      <c r="N330" s="7">
        <f t="shared" si="7"/>
        <v>0.48189999999999977</v>
      </c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</row>
    <row r="331" spans="1:28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>
        <v>339</v>
      </c>
      <c r="N331" s="7">
        <f t="shared" si="7"/>
        <v>0.48194999999999977</v>
      </c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</row>
    <row r="332" spans="1:28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>
        <v>340</v>
      </c>
      <c r="N332" s="7">
        <f t="shared" si="7"/>
        <v>0.48199999999999976</v>
      </c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</row>
    <row r="333" spans="1:28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>
        <v>341</v>
      </c>
      <c r="N333" s="7">
        <f t="shared" si="7"/>
        <v>0.48204999999999976</v>
      </c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</row>
    <row r="334" spans="1:28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>
        <v>342</v>
      </c>
      <c r="N334" s="7">
        <f t="shared" si="7"/>
        <v>0.48209999999999975</v>
      </c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</row>
    <row r="335" spans="1:28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>
        <v>343</v>
      </c>
      <c r="N335" s="7">
        <f t="shared" si="7"/>
        <v>0.48214999999999975</v>
      </c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</row>
    <row r="336" spans="1:28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>
        <v>344</v>
      </c>
      <c r="N336" s="7">
        <f t="shared" si="7"/>
        <v>0.48219999999999974</v>
      </c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</row>
    <row r="337" spans="1:28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>
        <v>345</v>
      </c>
      <c r="N337" s="7">
        <f t="shared" si="7"/>
        <v>0.48224999999999973</v>
      </c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</row>
    <row r="338" spans="1:28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>
        <v>346</v>
      </c>
      <c r="N338" s="7">
        <f t="shared" si="7"/>
        <v>0.48229999999999973</v>
      </c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</row>
    <row r="339" spans="1:28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>
        <v>347</v>
      </c>
      <c r="N339" s="7">
        <f t="shared" si="7"/>
        <v>0.48234999999999972</v>
      </c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</row>
    <row r="340" spans="1:28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>
        <v>348</v>
      </c>
      <c r="N340" s="7">
        <f t="shared" si="7"/>
        <v>0.48239999999999972</v>
      </c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</row>
    <row r="341" spans="1:28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>
        <v>349</v>
      </c>
      <c r="N341" s="7">
        <f t="shared" si="7"/>
        <v>0.48244999999999971</v>
      </c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</row>
    <row r="342" spans="1:28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>
        <v>350</v>
      </c>
      <c r="N342" s="7">
        <f t="shared" si="7"/>
        <v>0.48249999999999971</v>
      </c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</row>
    <row r="343" spans="1:28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>
        <v>351</v>
      </c>
      <c r="N343" s="7">
        <f t="shared" si="7"/>
        <v>0.4825499999999997</v>
      </c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</row>
    <row r="344" spans="1:28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>
        <v>352</v>
      </c>
      <c r="N344" s="7">
        <f t="shared" si="7"/>
        <v>0.4825999999999997</v>
      </c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</row>
    <row r="345" spans="1:28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>
        <v>353</v>
      </c>
      <c r="N345" s="7">
        <f t="shared" si="7"/>
        <v>0.48264999999999969</v>
      </c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</row>
    <row r="346" spans="1:28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>
        <v>354</v>
      </c>
      <c r="N346" s="7">
        <f t="shared" si="7"/>
        <v>0.48269999999999968</v>
      </c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</row>
    <row r="347" spans="1:28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>
        <v>355</v>
      </c>
      <c r="N347" s="7">
        <f t="shared" si="7"/>
        <v>0.48274999999999968</v>
      </c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</row>
    <row r="348" spans="1:28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>
        <v>356</v>
      </c>
      <c r="N348" s="7">
        <f t="shared" si="7"/>
        <v>0.48279999999999967</v>
      </c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</row>
    <row r="349" spans="1:28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>
        <v>357</v>
      </c>
      <c r="N349" s="7">
        <f t="shared" si="7"/>
        <v>0.48284999999999967</v>
      </c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</row>
    <row r="350" spans="1:28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>
        <v>358</v>
      </c>
      <c r="N350" s="7">
        <f t="shared" si="7"/>
        <v>0.48289999999999966</v>
      </c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</row>
    <row r="351" spans="1:28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>
        <v>359</v>
      </c>
      <c r="N351" s="7">
        <f t="shared" si="7"/>
        <v>0.48294999999999966</v>
      </c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</row>
    <row r="352" spans="1:28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>
        <v>360</v>
      </c>
      <c r="N352" s="7">
        <f t="shared" si="7"/>
        <v>0.48299999999999965</v>
      </c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</row>
    <row r="353" spans="1:28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>
        <v>361</v>
      </c>
      <c r="N353" s="7">
        <f t="shared" si="7"/>
        <v>0.48304999999999965</v>
      </c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</row>
    <row r="354" spans="1:28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>
        <v>362</v>
      </c>
      <c r="N354" s="7">
        <f t="shared" si="7"/>
        <v>0.48309999999999964</v>
      </c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</row>
    <row r="355" spans="1:28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>
        <v>363</v>
      </c>
      <c r="N355" s="7">
        <f t="shared" si="7"/>
        <v>0.48314999999999964</v>
      </c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</row>
    <row r="356" spans="1:28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>
        <v>364</v>
      </c>
      <c r="N356" s="7">
        <f t="shared" si="7"/>
        <v>0.48319999999999963</v>
      </c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</row>
    <row r="357" spans="1:28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>
        <v>365</v>
      </c>
      <c r="N357" s="7">
        <f t="shared" si="7"/>
        <v>0.48324999999999962</v>
      </c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</row>
    <row r="358" spans="1:28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>
        <v>366</v>
      </c>
      <c r="N358" s="7">
        <f t="shared" si="7"/>
        <v>0.48329999999999962</v>
      </c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</row>
    <row r="359" spans="1:28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>
        <v>367</v>
      </c>
      <c r="N359" s="7">
        <f t="shared" si="7"/>
        <v>0.48334999999999961</v>
      </c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</row>
    <row r="360" spans="1:28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>
        <v>368</v>
      </c>
      <c r="N360" s="7">
        <f t="shared" si="7"/>
        <v>0.48339999999999961</v>
      </c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</row>
    <row r="361" spans="1:28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>
        <v>369</v>
      </c>
      <c r="N361" s="7">
        <f t="shared" si="7"/>
        <v>0.4834499999999996</v>
      </c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</row>
    <row r="362" spans="1:28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>
        <v>370</v>
      </c>
      <c r="N362" s="7">
        <f t="shared" si="7"/>
        <v>0.4834999999999996</v>
      </c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</row>
    <row r="363" spans="1:28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>
        <v>371</v>
      </c>
      <c r="N363" s="7">
        <f t="shared" si="7"/>
        <v>0.48354999999999959</v>
      </c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</row>
    <row r="364" spans="1:28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>
        <v>372</v>
      </c>
      <c r="N364" s="7">
        <f t="shared" si="7"/>
        <v>0.48359999999999959</v>
      </c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</row>
    <row r="365" spans="1:28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>
        <v>373</v>
      </c>
      <c r="N365" s="7">
        <f t="shared" si="7"/>
        <v>0.48364999999999958</v>
      </c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</row>
    <row r="366" spans="1:28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>
        <v>374</v>
      </c>
      <c r="N366" s="7">
        <f t="shared" si="7"/>
        <v>0.48369999999999957</v>
      </c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</row>
    <row r="367" spans="1:28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>
        <v>375</v>
      </c>
      <c r="N367" s="7">
        <f t="shared" si="7"/>
        <v>0.48374999999999957</v>
      </c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</row>
    <row r="368" spans="1:28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>
        <v>376</v>
      </c>
      <c r="N368" s="7">
        <f t="shared" si="7"/>
        <v>0.48379999999999956</v>
      </c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</row>
    <row r="369" spans="1:28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>
        <v>377</v>
      </c>
      <c r="N369" s="7">
        <f t="shared" si="7"/>
        <v>0.48384999999999956</v>
      </c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</row>
    <row r="370" spans="1:28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>
        <v>378</v>
      </c>
      <c r="N370" s="7">
        <f t="shared" si="7"/>
        <v>0.48389999999999955</v>
      </c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</row>
    <row r="371" spans="1:28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>
        <v>379</v>
      </c>
      <c r="N371" s="7">
        <f t="shared" si="7"/>
        <v>0.48394999999999955</v>
      </c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</row>
    <row r="372" spans="1:28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>
        <v>380</v>
      </c>
      <c r="N372" s="7">
        <f t="shared" si="7"/>
        <v>0.48399999999999954</v>
      </c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</row>
    <row r="373" spans="1:28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>
        <v>381</v>
      </c>
      <c r="N373" s="7">
        <f t="shared" si="7"/>
        <v>0.48404999999999954</v>
      </c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</row>
    <row r="374" spans="1:28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>
        <v>382</v>
      </c>
      <c r="N374" s="7">
        <f t="shared" si="7"/>
        <v>0.48409999999999953</v>
      </c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</row>
    <row r="375" spans="1:28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>
        <v>383</v>
      </c>
      <c r="N375" s="7">
        <f t="shared" si="7"/>
        <v>0.48414999999999953</v>
      </c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</row>
    <row r="376" spans="1:28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>
        <v>384</v>
      </c>
      <c r="N376" s="7">
        <f t="shared" si="7"/>
        <v>0.48419999999999952</v>
      </c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</row>
    <row r="377" spans="1:28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>
        <v>385</v>
      </c>
      <c r="N377" s="7">
        <f t="shared" si="7"/>
        <v>0.48424999999999951</v>
      </c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</row>
    <row r="378" spans="1:28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>
        <v>386</v>
      </c>
      <c r="N378" s="7">
        <f t="shared" si="7"/>
        <v>0.48429999999999951</v>
      </c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</row>
    <row r="379" spans="1:28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>
        <v>387</v>
      </c>
      <c r="N379" s="7">
        <f t="shared" si="7"/>
        <v>0.4843499999999995</v>
      </c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</row>
    <row r="380" spans="1:28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>
        <v>388</v>
      </c>
      <c r="N380" s="7">
        <f t="shared" si="7"/>
        <v>0.4843999999999995</v>
      </c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</row>
    <row r="381" spans="1:28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>
        <v>389</v>
      </c>
      <c r="N381" s="7">
        <f t="shared" si="7"/>
        <v>0.48444999999999949</v>
      </c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</row>
    <row r="382" spans="1:28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>
        <v>390</v>
      </c>
      <c r="N382" s="7">
        <f t="shared" si="7"/>
        <v>0.48449999999999949</v>
      </c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</row>
    <row r="383" spans="1:28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>
        <v>391</v>
      </c>
      <c r="N383" s="7">
        <f t="shared" si="7"/>
        <v>0.48454999999999948</v>
      </c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</row>
    <row r="384" spans="1:28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>
        <v>392</v>
      </c>
      <c r="N384" s="7">
        <f t="shared" si="7"/>
        <v>0.48459999999999948</v>
      </c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</row>
    <row r="385" spans="1:28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>
        <v>393</v>
      </c>
      <c r="N385" s="7">
        <f t="shared" si="7"/>
        <v>0.48464999999999947</v>
      </c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</row>
    <row r="386" spans="1:28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>
        <v>394</v>
      </c>
      <c r="N386" s="7">
        <f t="shared" si="7"/>
        <v>0.48469999999999946</v>
      </c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</row>
    <row r="387" spans="1:28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>
        <v>395</v>
      </c>
      <c r="N387" s="7">
        <f t="shared" si="7"/>
        <v>0.48474999999999946</v>
      </c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</row>
    <row r="388" spans="1:28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>
        <v>396</v>
      </c>
      <c r="N388" s="7">
        <f t="shared" si="7"/>
        <v>0.48479999999999945</v>
      </c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</row>
    <row r="389" spans="1:28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>
        <v>397</v>
      </c>
      <c r="N389" s="7">
        <f t="shared" si="7"/>
        <v>0.48484999999999945</v>
      </c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</row>
    <row r="390" spans="1:28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>
        <v>398</v>
      </c>
      <c r="N390" s="7">
        <f t="shared" si="7"/>
        <v>0.48489999999999944</v>
      </c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</row>
    <row r="391" spans="1:28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>
        <v>399</v>
      </c>
      <c r="N391" s="7">
        <f t="shared" si="7"/>
        <v>0.48494999999999944</v>
      </c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</row>
    <row r="392" spans="1:28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>
        <v>400</v>
      </c>
      <c r="N392" s="6">
        <v>0.48499999999999999</v>
      </c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</row>
    <row r="393" spans="1:28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</row>
    <row r="394" spans="1:28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</row>
    <row r="395" spans="1:28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</row>
    <row r="396" spans="1:28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</row>
    <row r="397" spans="1:28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</row>
    <row r="398" spans="1:28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</row>
    <row r="399" spans="1:28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</row>
    <row r="400" spans="1:28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</row>
    <row r="401" spans="1:28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</row>
    <row r="402" spans="1:28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</row>
    <row r="403" spans="1:28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</row>
    <row r="404" spans="1:28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</row>
    <row r="405" spans="1:28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</row>
    <row r="406" spans="1:28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</row>
    <row r="407" spans="1:28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</row>
    <row r="408" spans="1:28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</row>
    <row r="409" spans="1:28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</row>
    <row r="410" spans="1:28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</row>
    <row r="411" spans="1:28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</row>
    <row r="412" spans="1:28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</row>
    <row r="413" spans="1:28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</row>
    <row r="414" spans="1:28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</row>
    <row r="415" spans="1:28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</row>
    <row r="416" spans="1:28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</row>
    <row r="417" spans="1:28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</row>
    <row r="418" spans="1:28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</row>
    <row r="419" spans="1:28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</row>
    <row r="420" spans="1:28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</row>
    <row r="421" spans="1:28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</row>
    <row r="422" spans="1:28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</row>
    <row r="423" spans="1:28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</row>
    <row r="424" spans="1:28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</row>
    <row r="425" spans="1:28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</row>
    <row r="426" spans="1:28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</row>
    <row r="427" spans="1:28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</row>
    <row r="428" spans="1:28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</row>
    <row r="429" spans="1:28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</row>
    <row r="430" spans="1:28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</row>
    <row r="431" spans="1:28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</row>
    <row r="432" spans="1:28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</row>
    <row r="433" spans="1:28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</row>
    <row r="434" spans="1:28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</row>
    <row r="435" spans="1:28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</row>
    <row r="436" spans="1:28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</row>
    <row r="437" spans="1:28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</row>
    <row r="438" spans="1:28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</row>
    <row r="439" spans="1:28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</row>
    <row r="440" spans="1:28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</row>
    <row r="441" spans="1:28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</row>
    <row r="442" spans="1:28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</row>
    <row r="443" spans="1:28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</row>
    <row r="444" spans="1:28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</row>
    <row r="445" spans="1:28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</row>
    <row r="446" spans="1:28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</row>
    <row r="447" spans="1:28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</row>
    <row r="448" spans="1:28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</row>
    <row r="449" spans="1:28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</row>
    <row r="450" spans="1:28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</row>
    <row r="451" spans="1:28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</row>
    <row r="452" spans="1:28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</row>
    <row r="453" spans="1:28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</row>
    <row r="454" spans="1:28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</row>
    <row r="455" spans="1:28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</row>
    <row r="456" spans="1:28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</row>
    <row r="457" spans="1:28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</row>
    <row r="458" spans="1:28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</row>
    <row r="459" spans="1:28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</row>
    <row r="460" spans="1:28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</row>
    <row r="461" spans="1:28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</row>
    <row r="462" spans="1:28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</row>
    <row r="463" spans="1:28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</row>
    <row r="464" spans="1:28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</row>
    <row r="465" spans="1:28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</row>
    <row r="466" spans="1:28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</row>
    <row r="467" spans="1:28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</row>
    <row r="468" spans="1:28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</row>
    <row r="469" spans="1:28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</row>
    <row r="470" spans="1:28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</row>
    <row r="471" spans="1:28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</row>
    <row r="472" spans="1:28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</row>
    <row r="473" spans="1:28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</row>
    <row r="474" spans="1:28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</row>
    <row r="475" spans="1:28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</row>
    <row r="476" spans="1:28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</row>
    <row r="477" spans="1:28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</row>
    <row r="478" spans="1:28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</row>
    <row r="479" spans="1:28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</row>
    <row r="480" spans="1:28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</row>
    <row r="481" spans="1:28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</row>
    <row r="482" spans="1:28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</row>
    <row r="483" spans="1:28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</row>
    <row r="484" spans="1:28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</row>
    <row r="485" spans="1:28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</row>
    <row r="486" spans="1:28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</row>
    <row r="487" spans="1:28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</row>
    <row r="488" spans="1:28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</row>
    <row r="489" spans="1:28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</row>
    <row r="490" spans="1:28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</row>
    <row r="491" spans="1:28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</row>
    <row r="492" spans="1:28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</row>
    <row r="493" spans="1:28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</row>
    <row r="494" spans="1:28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</row>
    <row r="495" spans="1:28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</row>
    <row r="496" spans="1:28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</row>
    <row r="497" spans="1:28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</row>
    <row r="498" spans="1:28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</row>
    <row r="499" spans="1:28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</row>
    <row r="500" spans="1:28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</row>
    <row r="501" spans="1:28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</row>
    <row r="502" spans="1:28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</row>
    <row r="503" spans="1:28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</row>
    <row r="504" spans="1:28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</row>
    <row r="505" spans="1:28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</row>
    <row r="506" spans="1:28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</row>
    <row r="507" spans="1:28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</row>
    <row r="508" spans="1:28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</row>
    <row r="509" spans="1:28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</row>
    <row r="510" spans="1:28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</row>
    <row r="511" spans="1:28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</row>
    <row r="512" spans="1:28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</row>
    <row r="513" spans="1:28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</row>
    <row r="514" spans="1:28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</row>
    <row r="515" spans="1:28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</row>
    <row r="516" spans="1:28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</row>
    <row r="517" spans="1:28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</row>
    <row r="518" spans="1:28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</row>
    <row r="519" spans="1:28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</row>
    <row r="520" spans="1:28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</row>
    <row r="521" spans="1:28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</row>
    <row r="522" spans="1:28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</row>
    <row r="523" spans="1:28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</row>
    <row r="524" spans="1:28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</row>
    <row r="525" spans="1:28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</row>
    <row r="526" spans="1:28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</row>
    <row r="527" spans="1:28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</row>
    <row r="528" spans="1:28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</row>
    <row r="529" spans="1:28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</row>
    <row r="530" spans="1:28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</row>
    <row r="531" spans="1:28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</row>
    <row r="532" spans="1:28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</row>
    <row r="533" spans="1:28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</row>
    <row r="534" spans="1:28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</row>
    <row r="535" spans="1:28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</row>
    <row r="536" spans="1:28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</row>
    <row r="537" spans="1:28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</row>
    <row r="538" spans="1:28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</row>
    <row r="539" spans="1:28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</row>
    <row r="540" spans="1:28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</row>
    <row r="541" spans="1:28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</row>
    <row r="542" spans="1:28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</row>
    <row r="543" spans="1:28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</row>
    <row r="544" spans="1:28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</row>
    <row r="545" spans="1:28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</row>
    <row r="546" spans="1:28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</row>
    <row r="547" spans="1:28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</row>
    <row r="548" spans="1:28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</row>
    <row r="549" spans="1:28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</row>
    <row r="550" spans="1:28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</row>
    <row r="551" spans="1:28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</row>
    <row r="552" spans="1:28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</row>
    <row r="553" spans="1:28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</row>
    <row r="554" spans="1:28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</row>
    <row r="555" spans="1:28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</row>
    <row r="556" spans="1:28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</row>
    <row r="557" spans="1:28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</row>
    <row r="558" spans="1:28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</row>
    <row r="559" spans="1:28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</row>
    <row r="560" spans="1:28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</row>
    <row r="561" spans="1:28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</row>
    <row r="562" spans="1:28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</row>
    <row r="563" spans="1:28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</row>
    <row r="564" spans="1:28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</row>
    <row r="565" spans="1:28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</row>
    <row r="566" spans="1:28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</row>
    <row r="567" spans="1:28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</row>
    <row r="568" spans="1:28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</row>
    <row r="569" spans="1:28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</row>
    <row r="570" spans="1:28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</row>
    <row r="571" spans="1:28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</row>
    <row r="572" spans="1:28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</row>
    <row r="573" spans="1:28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</row>
    <row r="574" spans="1:28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</row>
    <row r="575" spans="1:28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</row>
    <row r="576" spans="1:28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</row>
    <row r="577" spans="1:28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</row>
    <row r="578" spans="1:28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</row>
    <row r="579" spans="1:28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</row>
    <row r="580" spans="1:28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</row>
    <row r="581" spans="1:28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</row>
    <row r="582" spans="1:28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</row>
    <row r="583" spans="1:28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</row>
    <row r="584" spans="1:28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</row>
    <row r="585" spans="1:28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</row>
    <row r="586" spans="1:28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</row>
    <row r="587" spans="1:28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</row>
    <row r="588" spans="1:28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</row>
    <row r="589" spans="1:28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</row>
    <row r="590" spans="1:28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</row>
    <row r="591" spans="1:28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</row>
    <row r="592" spans="1:28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</row>
    <row r="593" spans="1:28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</row>
    <row r="594" spans="1:28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</row>
    <row r="595" spans="1:28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</row>
    <row r="596" spans="1:28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</row>
    <row r="597" spans="1:28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</row>
    <row r="598" spans="1:28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</row>
    <row r="599" spans="1:28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</row>
    <row r="600" spans="1:28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</row>
    <row r="601" spans="1:28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</row>
    <row r="602" spans="1:28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</row>
    <row r="603" spans="1:28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</row>
    <row r="604" spans="1:28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</row>
    <row r="605" spans="1:28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</row>
    <row r="606" spans="1:28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</row>
    <row r="607" spans="1:28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</row>
    <row r="608" spans="1:28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</row>
    <row r="609" spans="1:28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</row>
    <row r="610" spans="1:28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</row>
    <row r="611" spans="1:28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</row>
    <row r="612" spans="1:28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</row>
    <row r="613" spans="1:28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</row>
    <row r="614" spans="1:28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</row>
    <row r="615" spans="1:28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</row>
    <row r="616" spans="1:28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</row>
    <row r="617" spans="1:28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</row>
    <row r="618" spans="1:28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</row>
    <row r="619" spans="1:28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</row>
    <row r="620" spans="1:28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</row>
    <row r="621" spans="1:28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</row>
    <row r="622" spans="1:28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</row>
    <row r="623" spans="1:28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</row>
    <row r="624" spans="1:28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</row>
    <row r="625" spans="1:28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</row>
    <row r="626" spans="1:28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</row>
    <row r="627" spans="1:28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</row>
    <row r="628" spans="1:28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</row>
    <row r="629" spans="1:28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</row>
    <row r="630" spans="1:28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</row>
    <row r="631" spans="1:28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</row>
    <row r="632" spans="1:28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</row>
    <row r="633" spans="1:28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</row>
    <row r="634" spans="1:28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</row>
    <row r="635" spans="1:28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</row>
    <row r="636" spans="1:28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</row>
    <row r="637" spans="1:28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</row>
    <row r="638" spans="1:28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</row>
    <row r="639" spans="1:28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</row>
    <row r="640" spans="1:28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</row>
    <row r="641" spans="1:28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</row>
    <row r="642" spans="1:28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</row>
    <row r="643" spans="1:28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</row>
    <row r="644" spans="1:28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</row>
    <row r="645" spans="1:28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</row>
    <row r="646" spans="1:28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</row>
    <row r="647" spans="1:28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</row>
    <row r="648" spans="1:28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</row>
    <row r="649" spans="1:28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</row>
    <row r="650" spans="1:28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</row>
    <row r="651" spans="1:28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</row>
    <row r="652" spans="1:28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</row>
    <row r="653" spans="1:28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</row>
    <row r="654" spans="1:28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</row>
    <row r="655" spans="1:28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</row>
    <row r="656" spans="1:28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</row>
    <row r="657" spans="1:28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</row>
    <row r="658" spans="1:28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</row>
    <row r="659" spans="1:28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</row>
    <row r="660" spans="1:28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</row>
    <row r="661" spans="1:28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</row>
    <row r="662" spans="1:28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</row>
    <row r="663" spans="1:28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</row>
    <row r="664" spans="1:28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</row>
    <row r="665" spans="1:28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</row>
    <row r="666" spans="1:28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</row>
    <row r="667" spans="1:28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</row>
    <row r="668" spans="1:28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</row>
    <row r="669" spans="1:28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</row>
    <row r="670" spans="1:28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</row>
    <row r="671" spans="1:28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</row>
    <row r="672" spans="1:28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</row>
    <row r="673" spans="1:28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</row>
    <row r="674" spans="1:28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</row>
    <row r="675" spans="1:28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</row>
    <row r="676" spans="1:28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</row>
    <row r="677" spans="1:28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</row>
    <row r="678" spans="1:28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</row>
    <row r="679" spans="1:28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</row>
    <row r="680" spans="1:28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</row>
    <row r="681" spans="1:28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</row>
    <row r="682" spans="1:28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</row>
    <row r="683" spans="1:28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</row>
    <row r="684" spans="1:28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</row>
    <row r="685" spans="1:28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</row>
    <row r="686" spans="1:28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</row>
    <row r="687" spans="1:28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</row>
    <row r="688" spans="1:28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</row>
    <row r="689" spans="1:28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</row>
    <row r="690" spans="1:28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</row>
    <row r="691" spans="1:28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</row>
    <row r="692" spans="1:28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</row>
    <row r="693" spans="1:28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</row>
    <row r="694" spans="1:28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</row>
    <row r="695" spans="1:28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</row>
    <row r="696" spans="1:28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</row>
    <row r="697" spans="1:28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</row>
    <row r="698" spans="1:28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</row>
    <row r="699" spans="1:28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</row>
    <row r="700" spans="1:28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</row>
    <row r="701" spans="1:28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</row>
    <row r="702" spans="1:28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</row>
    <row r="703" spans="1:28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</row>
    <row r="704" spans="1:28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</row>
    <row r="705" spans="1:28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</row>
    <row r="706" spans="1:28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</row>
    <row r="707" spans="1:28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</row>
    <row r="708" spans="1:28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</row>
    <row r="709" spans="1:28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</row>
    <row r="710" spans="1:28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</row>
    <row r="711" spans="1:28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</row>
    <row r="712" spans="1:28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</row>
    <row r="713" spans="1:28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</row>
    <row r="714" spans="1:28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</row>
    <row r="715" spans="1:28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</row>
    <row r="716" spans="1:28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</row>
    <row r="717" spans="1:28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</row>
    <row r="718" spans="1:28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</row>
    <row r="719" spans="1:28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</row>
    <row r="720" spans="1:28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</row>
    <row r="721" spans="1:28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</row>
    <row r="722" spans="1:28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</row>
    <row r="723" spans="1:28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</row>
    <row r="724" spans="1:28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</row>
    <row r="725" spans="1:28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</row>
    <row r="726" spans="1:28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</row>
    <row r="727" spans="1:28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</row>
    <row r="728" spans="1:28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</row>
    <row r="729" spans="1:28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</row>
    <row r="730" spans="1:28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</row>
    <row r="731" spans="1:28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</row>
    <row r="732" spans="1:28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</row>
    <row r="733" spans="1:28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</row>
    <row r="734" spans="1:28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</row>
    <row r="735" spans="1:28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</row>
    <row r="736" spans="1:28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</row>
    <row r="737" spans="1:28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</row>
    <row r="738" spans="1:28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</row>
    <row r="739" spans="1:28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</row>
    <row r="740" spans="1:28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</row>
    <row r="741" spans="1:28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</row>
    <row r="742" spans="1:28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</row>
    <row r="743" spans="1:28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</row>
    <row r="744" spans="1:28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</row>
    <row r="745" spans="1:28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</row>
    <row r="746" spans="1:28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</row>
    <row r="747" spans="1:28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</row>
    <row r="748" spans="1:28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</row>
    <row r="749" spans="1:28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</row>
    <row r="750" spans="1:28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</row>
    <row r="751" spans="1:28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</row>
    <row r="752" spans="1:28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</row>
    <row r="753" spans="1:28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</row>
    <row r="754" spans="1:28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</row>
    <row r="755" spans="1:28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</row>
    <row r="756" spans="1:28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</row>
    <row r="757" spans="1:28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</row>
    <row r="758" spans="1:28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</row>
    <row r="759" spans="1:28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</row>
    <row r="760" spans="1:28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</row>
    <row r="761" spans="1:28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</row>
    <row r="762" spans="1:28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</row>
    <row r="763" spans="1:28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</row>
    <row r="764" spans="1:28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</row>
    <row r="765" spans="1:28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</row>
    <row r="766" spans="1:28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</row>
    <row r="767" spans="1:28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</row>
    <row r="768" spans="1:28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</row>
    <row r="769" spans="1:28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</row>
    <row r="770" spans="1:28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</row>
    <row r="771" spans="1:28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</row>
    <row r="772" spans="1:28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</row>
    <row r="773" spans="1:28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</row>
    <row r="774" spans="1:28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</row>
    <row r="775" spans="1:28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</row>
    <row r="776" spans="1:28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</row>
    <row r="777" spans="1:28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</row>
    <row r="778" spans="1:28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</row>
    <row r="779" spans="1:28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</row>
    <row r="780" spans="1:28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</row>
    <row r="781" spans="1:28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</row>
    <row r="782" spans="1:28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</row>
    <row r="783" spans="1:28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</row>
    <row r="784" spans="1:28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</row>
    <row r="785" spans="1:28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</row>
    <row r="786" spans="1:28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</row>
    <row r="787" spans="1:28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</row>
    <row r="788" spans="1:28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</row>
    <row r="789" spans="1:28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</row>
    <row r="790" spans="1:28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</row>
    <row r="791" spans="1:28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</row>
    <row r="792" spans="1:28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</row>
    <row r="793" spans="1:28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</row>
    <row r="794" spans="1:28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</row>
    <row r="795" spans="1:28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</row>
    <row r="796" spans="1:28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</row>
    <row r="797" spans="1:28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</row>
    <row r="798" spans="1:28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</row>
    <row r="799" spans="1:28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</row>
    <row r="800" spans="1:28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</row>
    <row r="801" spans="1:28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</row>
    <row r="802" spans="1:28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</row>
    <row r="803" spans="1:28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</row>
    <row r="804" spans="1:28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</row>
    <row r="805" spans="1:28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</row>
    <row r="806" spans="1:28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</row>
    <row r="807" spans="1:28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</row>
    <row r="808" spans="1:28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</row>
    <row r="809" spans="1:28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</row>
    <row r="810" spans="1:28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</row>
    <row r="811" spans="1:28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</row>
    <row r="812" spans="1:28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</row>
    <row r="813" spans="1:28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</row>
    <row r="814" spans="1:28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</row>
    <row r="815" spans="1:28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</row>
    <row r="816" spans="1:28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</row>
    <row r="817" spans="1:28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</row>
    <row r="818" spans="1:28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</row>
    <row r="819" spans="1:28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</row>
    <row r="820" spans="1:28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</row>
    <row r="821" spans="1:28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</row>
    <row r="822" spans="1:28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</row>
    <row r="823" spans="1:28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</row>
    <row r="824" spans="1:28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</row>
    <row r="825" spans="1:28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</row>
    <row r="826" spans="1:28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</row>
    <row r="827" spans="1:28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</row>
    <row r="828" spans="1:28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</row>
    <row r="829" spans="1:28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</row>
    <row r="830" spans="1:28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</row>
    <row r="831" spans="1:28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</row>
    <row r="832" spans="1:28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</row>
    <row r="833" spans="1:28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</row>
    <row r="834" spans="1:28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</row>
    <row r="835" spans="1:28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</row>
    <row r="836" spans="1:28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</row>
    <row r="837" spans="1:28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</row>
    <row r="838" spans="1:28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</row>
    <row r="839" spans="1:28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</row>
    <row r="840" spans="1:28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</row>
    <row r="841" spans="1:28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</row>
    <row r="842" spans="1:28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</row>
    <row r="843" spans="1:28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</row>
    <row r="844" spans="1:28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</row>
    <row r="845" spans="1:28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</row>
    <row r="846" spans="1:28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</row>
    <row r="847" spans="1:28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</row>
    <row r="848" spans="1:28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</row>
    <row r="849" spans="1:28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</row>
    <row r="850" spans="1:28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</row>
    <row r="851" spans="1:28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</row>
    <row r="852" spans="1:28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</row>
    <row r="853" spans="1:28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</row>
    <row r="854" spans="1:28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</row>
    <row r="855" spans="1:28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</row>
    <row r="856" spans="1:28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</row>
    <row r="857" spans="1:28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</row>
    <row r="858" spans="1:28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</row>
    <row r="859" spans="1:28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</row>
    <row r="860" spans="1:28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</row>
    <row r="861" spans="1:28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</row>
    <row r="862" spans="1:28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</row>
    <row r="863" spans="1:28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</row>
    <row r="864" spans="1:28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</row>
    <row r="865" spans="1:28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</row>
    <row r="866" spans="1:28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</row>
    <row r="867" spans="1:28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</row>
    <row r="868" spans="1:28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</row>
    <row r="869" spans="1:28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</row>
    <row r="870" spans="1:28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</row>
    <row r="871" spans="1:28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</row>
    <row r="872" spans="1:28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</row>
    <row r="873" spans="1:28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</row>
    <row r="874" spans="1:28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</row>
    <row r="875" spans="1:28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</row>
    <row r="876" spans="1:28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</row>
    <row r="877" spans="1:28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</row>
    <row r="878" spans="1:28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</row>
    <row r="879" spans="1:28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</row>
    <row r="880" spans="1:28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</row>
    <row r="881" spans="1:28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</row>
    <row r="882" spans="1:28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</row>
    <row r="883" spans="1:28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</row>
    <row r="884" spans="1:28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</row>
    <row r="885" spans="1:28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</row>
    <row r="886" spans="1:28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</row>
    <row r="887" spans="1:28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</row>
    <row r="888" spans="1:28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</row>
    <row r="889" spans="1:28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</row>
    <row r="890" spans="1:28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</row>
    <row r="891" spans="1:28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</row>
    <row r="892" spans="1:28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</row>
    <row r="893" spans="1:28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</row>
    <row r="894" spans="1:28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</row>
    <row r="895" spans="1:28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</row>
    <row r="896" spans="1:28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</row>
    <row r="897" spans="1:28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</row>
    <row r="898" spans="1:28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</row>
    <row r="899" spans="1:28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</row>
    <row r="900" spans="1:28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</row>
    <row r="901" spans="1:28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</row>
    <row r="902" spans="1:28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</row>
    <row r="903" spans="1:28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</row>
    <row r="904" spans="1:28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</row>
    <row r="905" spans="1:28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</row>
    <row r="906" spans="1:28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</row>
    <row r="907" spans="1:28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</row>
    <row r="908" spans="1:28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</row>
    <row r="909" spans="1:28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</row>
    <row r="910" spans="1:28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</row>
    <row r="911" spans="1:28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</row>
    <row r="912" spans="1:28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</row>
    <row r="913" spans="1:28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</row>
    <row r="914" spans="1:28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</row>
    <row r="915" spans="1:28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</row>
    <row r="916" spans="1:28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</row>
    <row r="917" spans="1:28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</row>
    <row r="918" spans="1:28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</row>
    <row r="919" spans="1:28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</row>
    <row r="920" spans="1:28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</row>
    <row r="921" spans="1:28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</row>
    <row r="922" spans="1:28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</row>
    <row r="923" spans="1:28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</row>
    <row r="924" spans="1:28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</row>
    <row r="925" spans="1:28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</row>
    <row r="926" spans="1:28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</row>
    <row r="927" spans="1:28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</row>
    <row r="928" spans="1:28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</row>
    <row r="929" spans="1:28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</row>
    <row r="930" spans="1:28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</row>
    <row r="931" spans="1:28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</row>
    <row r="932" spans="1:28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</row>
    <row r="933" spans="1:28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</row>
    <row r="934" spans="1:28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</row>
    <row r="935" spans="1:28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</row>
    <row r="936" spans="1:28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</row>
    <row r="937" spans="1:28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</row>
    <row r="938" spans="1:28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</row>
    <row r="939" spans="1:28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</row>
    <row r="940" spans="1:28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</row>
    <row r="941" spans="1:28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</row>
    <row r="942" spans="1:28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</row>
    <row r="943" spans="1:28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</row>
    <row r="944" spans="1:28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</row>
    <row r="945" spans="1:28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</row>
    <row r="946" spans="1:28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</row>
    <row r="947" spans="1:28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</row>
    <row r="948" spans="1:28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</row>
    <row r="949" spans="1:28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</row>
    <row r="950" spans="1:28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</row>
    <row r="951" spans="1:28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</row>
    <row r="952" spans="1:28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</row>
    <row r="953" spans="1:28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</row>
    <row r="954" spans="1:28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</row>
    <row r="955" spans="1:28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</row>
    <row r="956" spans="1:28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</row>
    <row r="957" spans="1:28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</row>
    <row r="958" spans="1:28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</row>
    <row r="959" spans="1:28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</row>
    <row r="960" spans="1:28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</row>
    <row r="961" spans="1:28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</row>
    <row r="962" spans="1:28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</row>
    <row r="963" spans="1:28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</row>
    <row r="964" spans="1:28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</row>
    <row r="965" spans="1:28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</row>
    <row r="966" spans="1:28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</row>
    <row r="967" spans="1:28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</row>
    <row r="968" spans="1:28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</row>
    <row r="969" spans="1:28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</row>
    <row r="970" spans="1:28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</row>
    <row r="971" spans="1:28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</row>
    <row r="972" spans="1:28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</row>
    <row r="973" spans="1:28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</row>
    <row r="974" spans="1:28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</row>
    <row r="975" spans="1:28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</row>
    <row r="976" spans="1:28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</row>
    <row r="977" spans="1:28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</row>
    <row r="978" spans="1:28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  <c r="AB978" s="2"/>
    </row>
    <row r="979" spans="1:28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  <c r="AB979" s="2"/>
    </row>
    <row r="980" spans="1:28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  <c r="AB980" s="2"/>
    </row>
    <row r="981" spans="1:28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  <c r="AB981" s="2"/>
    </row>
    <row r="982" spans="1:28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  <c r="AB982" s="2"/>
    </row>
    <row r="983" spans="1:28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  <c r="AB983" s="2"/>
    </row>
    <row r="984" spans="1:28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  <c r="AB984" s="2"/>
    </row>
    <row r="985" spans="1:28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  <c r="AB985" s="2"/>
    </row>
    <row r="986" spans="1:28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  <c r="AB986" s="2"/>
    </row>
    <row r="987" spans="1:28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  <c r="AB987" s="2"/>
    </row>
    <row r="988" spans="1:28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  <c r="AB988" s="2"/>
    </row>
    <row r="989" spans="1:28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  <c r="AB989" s="2"/>
    </row>
    <row r="990" spans="1:28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  <c r="AB990" s="2"/>
    </row>
    <row r="991" spans="1:28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  <c r="AB991" s="2"/>
    </row>
    <row r="992" spans="1:28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  <c r="AB992" s="2"/>
    </row>
    <row r="993" spans="1:28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  <c r="AB993" s="2"/>
    </row>
    <row r="994" spans="1:28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  <c r="AB994" s="2"/>
    </row>
    <row r="995" spans="1:28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  <c r="AB995" s="2"/>
    </row>
    <row r="996" spans="1:28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  <c r="AB996" s="2"/>
    </row>
    <row r="997" spans="1:28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  <c r="AB997" s="2"/>
    </row>
    <row r="998" spans="1:28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  <c r="AB998" s="2"/>
    </row>
    <row r="999" spans="1:28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  <c r="AB999" s="2"/>
    </row>
    <row r="1000" spans="1:28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  <c r="AB1000" s="2"/>
    </row>
    <row r="1001" spans="1:28">
      <c r="A1001" s="2"/>
      <c r="B1001" s="2"/>
      <c r="C1001" s="2"/>
      <c r="D1001" s="2"/>
      <c r="E1001" s="2"/>
      <c r="F1001" s="2"/>
      <c r="G1001" s="2"/>
      <c r="H1001" s="2"/>
      <c r="I1001" s="2"/>
      <c r="J1001" s="2"/>
      <c r="K1001" s="2"/>
      <c r="L1001" s="2"/>
      <c r="M1001" s="2"/>
      <c r="N1001" s="2"/>
      <c r="O1001" s="2"/>
      <c r="P1001" s="2"/>
      <c r="Q1001" s="2"/>
      <c r="R1001" s="2"/>
      <c r="S1001" s="2"/>
      <c r="T1001" s="2"/>
      <c r="U1001" s="2"/>
      <c r="V1001" s="2"/>
      <c r="W1001" s="2"/>
      <c r="X1001" s="2"/>
      <c r="Y1001" s="2"/>
      <c r="Z1001" s="2"/>
      <c r="AA1001" s="2"/>
      <c r="AB1001" s="2"/>
    </row>
    <row r="1002" spans="1:28">
      <c r="A1002" s="2"/>
      <c r="B1002" s="2"/>
      <c r="C1002" s="2"/>
      <c r="D1002" s="2"/>
      <c r="E1002" s="2"/>
      <c r="F1002" s="2"/>
      <c r="G1002" s="2"/>
      <c r="H1002" s="2"/>
      <c r="I1002" s="2"/>
      <c r="J1002" s="2"/>
      <c r="K1002" s="2"/>
      <c r="L1002" s="2"/>
      <c r="M1002" s="2"/>
      <c r="N1002" s="2"/>
      <c r="O1002" s="2"/>
      <c r="P1002" s="2"/>
      <c r="Q1002" s="2"/>
      <c r="R1002" s="2"/>
      <c r="S1002" s="2"/>
      <c r="T1002" s="2"/>
      <c r="U1002" s="2"/>
      <c r="V1002" s="2"/>
      <c r="W1002" s="2"/>
      <c r="X1002" s="2"/>
      <c r="Y1002" s="2"/>
      <c r="Z1002" s="2"/>
      <c r="AA1002" s="2"/>
      <c r="AB1002" s="2"/>
    </row>
  </sheetData>
  <mergeCells count="7">
    <mergeCell ref="A1:H1"/>
    <mergeCell ref="J1:K1"/>
    <mergeCell ref="M1:N1"/>
    <mergeCell ref="A2:B2"/>
    <mergeCell ref="C2:H2"/>
    <mergeCell ref="J2:K2"/>
    <mergeCell ref="M2:N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AA1007"/>
  <sheetViews>
    <sheetView workbookViewId="0">
      <pane ySplit="1" topLeftCell="A2" activePane="bottomLeft" state="frozen"/>
      <selection pane="bottomLeft" activeCell="B3" sqref="B3"/>
    </sheetView>
  </sheetViews>
  <sheetFormatPr defaultColWidth="12.5703125" defaultRowHeight="15.75" customHeight="1"/>
  <cols>
    <col min="1" max="1" width="22.85546875" customWidth="1"/>
    <col min="6" max="6" width="19.85546875" customWidth="1"/>
  </cols>
  <sheetData>
    <row r="1" spans="1:27">
      <c r="A1" s="8" t="s">
        <v>27</v>
      </c>
      <c r="B1" s="8" t="s">
        <v>28</v>
      </c>
      <c r="C1" s="8" t="s">
        <v>29</v>
      </c>
      <c r="D1" s="8" t="s">
        <v>30</v>
      </c>
      <c r="E1" s="8" t="s">
        <v>31</v>
      </c>
      <c r="F1" s="9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  <c r="AA1" s="9"/>
    </row>
    <row r="2" spans="1:27">
      <c r="A2" s="9" t="s">
        <v>32</v>
      </c>
      <c r="B2" s="9" t="s">
        <v>33</v>
      </c>
      <c r="C2" s="10">
        <v>20</v>
      </c>
      <c r="D2" s="9" t="s">
        <v>34</v>
      </c>
      <c r="E2" s="9"/>
      <c r="F2" s="9"/>
      <c r="G2" s="9"/>
      <c r="H2" s="9"/>
      <c r="I2" s="9"/>
      <c r="J2" s="9"/>
      <c r="K2" s="9"/>
      <c r="L2" s="9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  <c r="AA2" s="9"/>
    </row>
    <row r="3" spans="1:27">
      <c r="A3" s="9" t="s">
        <v>35</v>
      </c>
      <c r="B3" s="9" t="s">
        <v>36</v>
      </c>
      <c r="C3" s="11">
        <v>16</v>
      </c>
      <c r="D3" s="9" t="s">
        <v>37</v>
      </c>
      <c r="E3" s="9"/>
      <c r="F3" s="8" t="s">
        <v>38</v>
      </c>
      <c r="G3" s="8"/>
      <c r="H3" s="9"/>
      <c r="I3" s="9"/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  <c r="AA3" s="9"/>
    </row>
    <row r="4" spans="1:27">
      <c r="A4" s="9" t="s">
        <v>39</v>
      </c>
      <c r="B4" s="9" t="s">
        <v>40</v>
      </c>
      <c r="C4" s="11">
        <v>48</v>
      </c>
      <c r="D4" s="9" t="s">
        <v>37</v>
      </c>
      <c r="E4" s="9"/>
      <c r="F4" s="10" t="s">
        <v>41</v>
      </c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  <c r="Z4" s="9"/>
      <c r="AA4" s="9"/>
    </row>
    <row r="5" spans="1:27">
      <c r="A5" s="9" t="s">
        <v>42</v>
      </c>
      <c r="B5" s="9" t="s">
        <v>43</v>
      </c>
      <c r="C5" s="11">
        <v>6</v>
      </c>
      <c r="D5" s="9" t="s">
        <v>44</v>
      </c>
      <c r="E5" s="9"/>
      <c r="F5" s="9" t="s">
        <v>45</v>
      </c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</row>
    <row r="6" spans="1:27">
      <c r="A6" s="9" t="s">
        <v>46</v>
      </c>
      <c r="B6" s="9" t="s">
        <v>47</v>
      </c>
      <c r="C6" s="10">
        <v>10</v>
      </c>
      <c r="D6" s="9"/>
      <c r="E6" s="9"/>
      <c r="F6" s="11" t="s">
        <v>48</v>
      </c>
      <c r="G6" s="9"/>
      <c r="H6" s="9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</row>
    <row r="7" spans="1:27">
      <c r="A7" s="9" t="s">
        <v>49</v>
      </c>
      <c r="B7" s="9" t="s">
        <v>50</v>
      </c>
      <c r="C7" s="11">
        <v>2</v>
      </c>
      <c r="D7" s="9" t="s">
        <v>51</v>
      </c>
      <c r="E7" s="9"/>
      <c r="F7" s="12" t="s">
        <v>52</v>
      </c>
      <c r="G7" s="9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  <c r="AA7" s="9"/>
    </row>
    <row r="8" spans="1:27">
      <c r="A8" s="9" t="s">
        <v>53</v>
      </c>
      <c r="B8" s="9" t="s">
        <v>54</v>
      </c>
      <c r="C8" s="11">
        <v>300</v>
      </c>
      <c r="D8" s="9" t="s">
        <v>55</v>
      </c>
      <c r="E8" s="9"/>
      <c r="F8" s="9"/>
      <c r="G8" s="9"/>
      <c r="H8" s="9"/>
      <c r="I8" s="9"/>
      <c r="J8" s="9"/>
      <c r="K8" s="9"/>
      <c r="L8" s="9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  <c r="AA8" s="9"/>
    </row>
    <row r="9" spans="1:27">
      <c r="A9" s="9" t="s">
        <v>56</v>
      </c>
      <c r="B9" s="9" t="s">
        <v>57</v>
      </c>
      <c r="C9" s="13">
        <f>C3/C5</f>
        <v>2.6666666666666665</v>
      </c>
      <c r="D9" s="9" t="s">
        <v>51</v>
      </c>
      <c r="E9" s="9"/>
      <c r="F9" s="9"/>
      <c r="G9" s="9"/>
      <c r="H9" s="9"/>
      <c r="I9" s="9"/>
      <c r="J9" s="9"/>
      <c r="K9" s="9"/>
      <c r="L9" s="9"/>
      <c r="M9" s="9"/>
      <c r="N9" s="9"/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  <c r="AA9" s="9"/>
    </row>
    <row r="10" spans="1:27">
      <c r="A10" s="9" t="s">
        <v>58</v>
      </c>
      <c r="B10" s="9" t="s">
        <v>59</v>
      </c>
      <c r="C10" s="13">
        <f>C4/C5</f>
        <v>8</v>
      </c>
      <c r="D10" s="9" t="s">
        <v>51</v>
      </c>
      <c r="E10" s="9"/>
      <c r="F10" s="9"/>
      <c r="G10" s="9"/>
      <c r="H10" s="9"/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  <c r="AA10" s="9"/>
    </row>
    <row r="11" spans="1:27">
      <c r="A11" s="9" t="s">
        <v>60</v>
      </c>
      <c r="B11" s="9" t="s">
        <v>61</v>
      </c>
      <c r="C11" s="13">
        <f>PI()*C9*C8/12</f>
        <v>209.4395102393195</v>
      </c>
      <c r="D11" s="9" t="s">
        <v>62</v>
      </c>
      <c r="E11" s="9"/>
      <c r="F11" s="9"/>
      <c r="G11" s="9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  <c r="AA11" s="9"/>
    </row>
    <row r="12" spans="1:27">
      <c r="A12" s="9" t="s">
        <v>63</v>
      </c>
      <c r="B12" s="9" t="s">
        <v>64</v>
      </c>
      <c r="C12" s="13">
        <f>C4/C3</f>
        <v>3</v>
      </c>
      <c r="D12" s="9"/>
      <c r="E12" s="9"/>
      <c r="F12" s="9"/>
      <c r="G12" s="9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  <c r="Y12" s="9"/>
      <c r="Z12" s="9"/>
      <c r="AA12" s="9"/>
    </row>
    <row r="13" spans="1:27">
      <c r="A13" s="9" t="s">
        <v>65</v>
      </c>
      <c r="B13" s="9" t="s">
        <v>66</v>
      </c>
      <c r="C13" s="9">
        <f>C8/C12</f>
        <v>100</v>
      </c>
      <c r="D13" s="9" t="s">
        <v>55</v>
      </c>
      <c r="E13" s="9"/>
      <c r="F13" s="9"/>
      <c r="G13" s="9"/>
      <c r="H13" s="9"/>
      <c r="I13" s="9"/>
      <c r="J13" s="9"/>
      <c r="K13" s="9"/>
      <c r="L13" s="9"/>
      <c r="M13" s="9"/>
      <c r="N13" s="9"/>
      <c r="O13" s="9"/>
      <c r="P13" s="9"/>
      <c r="Q13" s="9"/>
      <c r="R13" s="9"/>
      <c r="S13" s="9"/>
      <c r="T13" s="9"/>
      <c r="U13" s="9"/>
      <c r="V13" s="9"/>
      <c r="W13" s="9"/>
      <c r="X13" s="9"/>
      <c r="Y13" s="9"/>
      <c r="Z13" s="9"/>
      <c r="AA13" s="9"/>
    </row>
    <row r="14" spans="1:27">
      <c r="A14" s="9" t="s">
        <v>67</v>
      </c>
      <c r="B14" s="9" t="s">
        <v>68</v>
      </c>
      <c r="C14" s="11">
        <v>5</v>
      </c>
      <c r="D14" s="9" t="s">
        <v>69</v>
      </c>
      <c r="E14" s="9"/>
      <c r="F14" s="9"/>
      <c r="G14" s="9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  <c r="Y14" s="9"/>
      <c r="Z14" s="9"/>
      <c r="AA14" s="9"/>
    </row>
    <row r="15" spans="1:27">
      <c r="A15" s="9" t="s">
        <v>70</v>
      </c>
      <c r="B15" s="9" t="s">
        <v>71</v>
      </c>
      <c r="C15" s="14">
        <v>300</v>
      </c>
      <c r="D15" s="9" t="s">
        <v>72</v>
      </c>
      <c r="E15" s="9"/>
      <c r="F15" s="9"/>
      <c r="G15" s="9"/>
      <c r="H15" s="9"/>
      <c r="I15" s="9"/>
      <c r="J15" s="9"/>
      <c r="K15" s="9"/>
      <c r="L15" s="9"/>
      <c r="M15" s="9"/>
      <c r="N15" s="9"/>
      <c r="O15" s="9"/>
      <c r="P15" s="9"/>
      <c r="Q15" s="9"/>
      <c r="R15" s="9"/>
      <c r="S15" s="9"/>
      <c r="T15" s="9"/>
      <c r="U15" s="9"/>
      <c r="V15" s="9"/>
      <c r="W15" s="9"/>
      <c r="X15" s="9"/>
      <c r="Y15" s="9"/>
      <c r="Z15" s="9"/>
      <c r="AA15" s="9"/>
    </row>
    <row r="16" spans="1:27">
      <c r="A16" s="9" t="s">
        <v>73</v>
      </c>
      <c r="B16" s="9" t="s">
        <v>74</v>
      </c>
      <c r="C16" s="14">
        <v>300</v>
      </c>
      <c r="D16" s="9" t="s">
        <v>72</v>
      </c>
      <c r="E16" s="9"/>
      <c r="F16" s="9"/>
      <c r="G16" s="9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  <c r="Y16" s="9"/>
      <c r="Z16" s="9"/>
      <c r="AA16" s="9"/>
    </row>
    <row r="17" spans="1:27">
      <c r="A17" s="9" t="s">
        <v>75</v>
      </c>
      <c r="B17" s="9" t="s">
        <v>76</v>
      </c>
      <c r="C17" s="13">
        <f>33000*C14/C11</f>
        <v>787.81696830488204</v>
      </c>
      <c r="D17" s="9" t="s">
        <v>77</v>
      </c>
      <c r="E17" s="9"/>
      <c r="F17" s="9"/>
      <c r="G17" s="9"/>
      <c r="H17" s="9"/>
      <c r="I17" s="9"/>
      <c r="J17" s="9"/>
      <c r="K17" s="9"/>
      <c r="L17" s="9"/>
      <c r="M17" s="9"/>
      <c r="N17" s="9"/>
      <c r="O17" s="9"/>
      <c r="P17" s="9"/>
      <c r="Q17" s="9"/>
      <c r="R17" s="9"/>
      <c r="S17" s="9"/>
      <c r="T17" s="9"/>
      <c r="U17" s="9"/>
      <c r="V17" s="9"/>
      <c r="W17" s="9"/>
      <c r="X17" s="9"/>
      <c r="Y17" s="9"/>
      <c r="Z17" s="9"/>
      <c r="AA17" s="9"/>
    </row>
    <row r="18" spans="1:27">
      <c r="A18" s="9" t="s">
        <v>78</v>
      </c>
      <c r="B18" s="9" t="s">
        <v>79</v>
      </c>
      <c r="C18" s="12">
        <v>0.27500000000000002</v>
      </c>
      <c r="D18" s="9"/>
      <c r="E18" s="9" t="s">
        <v>80</v>
      </c>
      <c r="F18" s="9"/>
      <c r="G18" s="9"/>
      <c r="H18" s="9"/>
      <c r="I18" s="9"/>
      <c r="J18" s="9"/>
      <c r="K18" s="9"/>
      <c r="L18" s="9"/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  <c r="X18" s="9"/>
      <c r="Y18" s="9"/>
      <c r="Z18" s="9"/>
      <c r="AA18" s="9"/>
    </row>
    <row r="19" spans="1:27">
      <c r="A19" s="9" t="s">
        <v>81</v>
      </c>
      <c r="B19" s="9" t="s">
        <v>82</v>
      </c>
      <c r="C19" s="12">
        <v>0.38</v>
      </c>
      <c r="D19" s="9"/>
      <c r="E19" s="9" t="s">
        <v>80</v>
      </c>
      <c r="F19" s="9"/>
      <c r="G19" s="9"/>
      <c r="H19" s="9"/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  <c r="U19" s="9"/>
      <c r="V19" s="9"/>
      <c r="W19" s="9"/>
      <c r="X19" s="9"/>
      <c r="Y19" s="9"/>
      <c r="Z19" s="9"/>
      <c r="AA19" s="9"/>
    </row>
    <row r="20" spans="1:27">
      <c r="A20" s="9" t="s">
        <v>83</v>
      </c>
      <c r="B20" s="9" t="s">
        <v>84</v>
      </c>
      <c r="C20" s="13">
        <f>(COS(RADIANS(C2))*SIN(RADIANS(C2))*C12)/(2*1*(C12+1))</f>
        <v>0.12052267681622614</v>
      </c>
      <c r="D20" s="9"/>
      <c r="F20" s="9"/>
      <c r="G20" s="9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  <c r="Y20" s="9"/>
      <c r="Z20" s="9"/>
      <c r="AA20" s="9"/>
    </row>
    <row r="21" spans="1:27">
      <c r="A21" s="9" t="s">
        <v>85</v>
      </c>
      <c r="B21" s="9" t="s">
        <v>86</v>
      </c>
      <c r="C21" s="12">
        <v>2300</v>
      </c>
      <c r="D21" s="9" t="s">
        <v>87</v>
      </c>
      <c r="E21" s="9" t="s">
        <v>12</v>
      </c>
      <c r="F21" s="9"/>
      <c r="G21" s="9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  <c r="AA21" s="9"/>
    </row>
    <row r="22" spans="1:27">
      <c r="A22" s="9" t="s">
        <v>88</v>
      </c>
      <c r="B22" s="9" t="s">
        <v>89</v>
      </c>
      <c r="C22" s="13">
        <f>(((50+56*(1-0.25*(12-C6)^(2/3)))+SQRT(C11))/(50+56*(1-0.25*(12-C6)^(2/3))))^(0.25*(12-C6)^(2/3))</f>
        <v>1.065279554084382</v>
      </c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  <c r="AA22" s="9"/>
    </row>
    <row r="23" spans="1:27">
      <c r="A23" s="9" t="s">
        <v>90</v>
      </c>
      <c r="B23" s="9" t="s">
        <v>91</v>
      </c>
      <c r="C23" s="10">
        <v>1.25</v>
      </c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  <c r="AA23" s="9"/>
    </row>
    <row r="24" spans="1:27">
      <c r="A24" s="2" t="s">
        <v>92</v>
      </c>
      <c r="B24" s="9" t="s">
        <v>93</v>
      </c>
      <c r="C24" s="15">
        <v>1</v>
      </c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  <c r="AA24" s="9"/>
    </row>
    <row r="25" spans="1:27">
      <c r="A25" s="9" t="s">
        <v>94</v>
      </c>
      <c r="B25" s="9" t="s">
        <v>95</v>
      </c>
      <c r="C25" s="13">
        <f>VLOOKUP(C3,Tables!M4:N1007,2,FALSE)</f>
        <v>0.29599999999999999</v>
      </c>
      <c r="D25" s="9"/>
      <c r="E25" s="9" t="s">
        <v>13</v>
      </c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  <c r="AA25" s="9"/>
    </row>
    <row r="26" spans="1:27">
      <c r="A26" s="9" t="s">
        <v>96</v>
      </c>
      <c r="B26" s="9" t="s">
        <v>97</v>
      </c>
      <c r="C26" s="13">
        <f>VLOOKUP(C4,Tables!M4:N1007,2,FALSE)</f>
        <v>0.41828571428571415</v>
      </c>
      <c r="D26" s="9"/>
      <c r="E26" s="9" t="s">
        <v>13</v>
      </c>
      <c r="F26" s="9"/>
      <c r="G26" s="9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  <c r="AA26" s="9"/>
    </row>
    <row r="27" spans="1:27">
      <c r="A27" s="9" t="s">
        <v>98</v>
      </c>
      <c r="B27" s="9" t="s">
        <v>99</v>
      </c>
      <c r="C27" s="13">
        <f>1.192*(C7*SQRT(C25)/C5)^0.0535</f>
        <v>1.0879459543505776</v>
      </c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  <c r="AA27" s="9"/>
    </row>
    <row r="28" spans="1:27">
      <c r="A28" s="9" t="s">
        <v>100</v>
      </c>
      <c r="B28" s="9" t="s">
        <v>101</v>
      </c>
      <c r="C28" s="13">
        <f>1.192*(C7*SQRT(C26)/C5)^0.0535</f>
        <v>1.0980564615125403</v>
      </c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  <c r="AA28" s="9"/>
    </row>
    <row r="29" spans="1:27">
      <c r="A29" s="9"/>
      <c r="B29" s="9" t="s">
        <v>102</v>
      </c>
      <c r="C29" s="10">
        <v>1</v>
      </c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  <c r="AA29" s="9"/>
    </row>
    <row r="30" spans="1:27">
      <c r="A30" s="9"/>
      <c r="B30" s="9" t="s">
        <v>103</v>
      </c>
      <c r="C30" s="13" t="e">
        <f ca="1">IFS(
C7&lt;=1,(C7/(10*C9))-0.025,
AND(1&lt;C7,C7&lt;=17),(C7/(10*C9))+0.0125*C7-0.0375
)</f>
        <v>#NAME?</v>
      </c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  <c r="AA30" s="9"/>
    </row>
    <row r="31" spans="1:27">
      <c r="A31" s="9" t="s">
        <v>104</v>
      </c>
      <c r="B31" s="9" t="s">
        <v>105</v>
      </c>
      <c r="C31" s="11">
        <v>4</v>
      </c>
      <c r="D31" s="9" t="s">
        <v>51</v>
      </c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  <c r="AA31" s="9"/>
    </row>
    <row r="32" spans="1:27">
      <c r="A32" s="9" t="s">
        <v>106</v>
      </c>
      <c r="B32" s="9" t="s">
        <v>107</v>
      </c>
      <c r="C32" s="11">
        <v>1.5</v>
      </c>
      <c r="D32" s="9" t="s">
        <v>51</v>
      </c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  <c r="AA32" s="9"/>
    </row>
    <row r="33" spans="1:27">
      <c r="A33" s="9"/>
      <c r="B33" s="9" t="s">
        <v>108</v>
      </c>
      <c r="C33" s="9" t="e">
        <f ca="1">IFS(
C32/C31&lt;0.175,1,
0.175&lt;=C32/C31,1.1)</f>
        <v>#NAME?</v>
      </c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  <c r="AA33" s="9"/>
    </row>
    <row r="34" spans="1:27">
      <c r="A34" s="9" t="s">
        <v>109</v>
      </c>
      <c r="B34" s="9" t="s">
        <v>110</v>
      </c>
      <c r="C34" s="13">
        <f>0.0675+0.0128*C7-0.926*(10^-4)*(C7^2)</f>
        <v>9.2729599999999995E-2</v>
      </c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  <c r="AA34" s="9"/>
    </row>
    <row r="35" spans="1:27">
      <c r="A35" s="9"/>
      <c r="B35" s="9" t="s">
        <v>111</v>
      </c>
      <c r="C35" s="10">
        <v>0.8</v>
      </c>
      <c r="D35" s="9"/>
      <c r="E35" s="9"/>
      <c r="F35" s="9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  <c r="AA35" s="9"/>
    </row>
    <row r="36" spans="1:27">
      <c r="A36" s="9" t="s">
        <v>112</v>
      </c>
      <c r="B36" s="9" t="s">
        <v>113</v>
      </c>
      <c r="C36" s="13" t="e">
        <f ca="1">1+C29*(C30*C33+C34*C35)</f>
        <v>#NAME?</v>
      </c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  <c r="AA36" s="9"/>
    </row>
    <row r="37" spans="1:27">
      <c r="A37" s="9" t="s">
        <v>114</v>
      </c>
      <c r="B37" s="9" t="s">
        <v>115</v>
      </c>
      <c r="C37" s="10">
        <v>1</v>
      </c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  <c r="AA37" s="9"/>
    </row>
    <row r="38" spans="1:27">
      <c r="A38" s="9" t="s">
        <v>116</v>
      </c>
      <c r="B38" s="9" t="s">
        <v>117</v>
      </c>
      <c r="C38" s="9">
        <f>1+(8.98*(10^-3)*C15/C16-8.29*(10^-3))*(C12-1)</f>
        <v>1.0013799999999999</v>
      </c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  <c r="AA38" s="9"/>
    </row>
    <row r="39" spans="1:27">
      <c r="A39" s="9" t="s">
        <v>118</v>
      </c>
      <c r="B39" s="9" t="s">
        <v>119</v>
      </c>
      <c r="C39" s="9">
        <f>77.3*C15+12800</f>
        <v>35990</v>
      </c>
      <c r="D39" s="9" t="s">
        <v>120</v>
      </c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  <c r="AA39" s="9"/>
    </row>
    <row r="40" spans="1:27">
      <c r="A40" s="9" t="s">
        <v>121</v>
      </c>
      <c r="B40" s="9" t="s">
        <v>122</v>
      </c>
      <c r="C40" s="9">
        <f>322*C15+29100</f>
        <v>125700</v>
      </c>
      <c r="D40" s="9" t="s">
        <v>120</v>
      </c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  <c r="AA40" s="9"/>
    </row>
    <row r="41" spans="1:27">
      <c r="A41" s="9" t="s">
        <v>123</v>
      </c>
      <c r="B41" s="9" t="s">
        <v>24</v>
      </c>
      <c r="C41" s="10">
        <f>10^8</f>
        <v>100000000</v>
      </c>
      <c r="D41" s="9" t="s">
        <v>124</v>
      </c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  <c r="AA41" s="9"/>
    </row>
    <row r="42" spans="1:27">
      <c r="A42" s="9" t="s">
        <v>125</v>
      </c>
      <c r="B42" s="9" t="s">
        <v>126</v>
      </c>
      <c r="C42" s="13">
        <f>1.3558*C41^-0.0178</f>
        <v>0.97677746055904235</v>
      </c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  <c r="AA42" s="9"/>
    </row>
    <row r="43" spans="1:27">
      <c r="A43" s="9" t="s">
        <v>127</v>
      </c>
      <c r="B43" s="9" t="s">
        <v>128</v>
      </c>
      <c r="C43" s="13">
        <f>1.3558*(C41/C12)^-0.0178</f>
        <v>0.99606662358073883</v>
      </c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  <c r="AA43" s="9"/>
    </row>
    <row r="44" spans="1:27">
      <c r="A44" s="9" t="s">
        <v>129</v>
      </c>
      <c r="B44" s="9" t="s">
        <v>130</v>
      </c>
      <c r="C44" s="13">
        <f>1.4488*C41^-0.023</f>
        <v>0.94843688898866818</v>
      </c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  <c r="AA44" s="9"/>
    </row>
    <row r="45" spans="1:27">
      <c r="A45" s="9" t="s">
        <v>131</v>
      </c>
      <c r="B45" s="9" t="s">
        <v>132</v>
      </c>
      <c r="C45" s="13">
        <f>1.4488*(C41/C12)^-0.023</f>
        <v>0.97270741416385931</v>
      </c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  <c r="AA45" s="9"/>
    </row>
    <row r="46" spans="1:27">
      <c r="A46" s="9" t="s">
        <v>133</v>
      </c>
      <c r="B46" s="9" t="s">
        <v>134</v>
      </c>
      <c r="C46" s="10">
        <v>0.98</v>
      </c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  <c r="AA46" s="9"/>
    </row>
    <row r="47" spans="1:27">
      <c r="A47" s="9" t="s">
        <v>135</v>
      </c>
      <c r="B47" s="9" t="s">
        <v>136</v>
      </c>
      <c r="C47" s="13">
        <f>0.658-0.0759*LN(1-C46)</f>
        <v>0.95492254611199623</v>
      </c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  <c r="AA47" s="9"/>
    </row>
    <row r="48" spans="1:27">
      <c r="A48" s="9" t="s">
        <v>137</v>
      </c>
      <c r="B48" s="9" t="s">
        <v>138</v>
      </c>
      <c r="C48" s="10">
        <v>1</v>
      </c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  <c r="AA48" s="9"/>
    </row>
    <row r="49" spans="1:27">
      <c r="A49" s="9" t="s">
        <v>139</v>
      </c>
      <c r="B49" s="9" t="s">
        <v>140</v>
      </c>
      <c r="C49" s="11">
        <v>1</v>
      </c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  <c r="AA49" s="9"/>
    </row>
    <row r="50" spans="1:27">
      <c r="A50" s="9" t="s">
        <v>141</v>
      </c>
      <c r="B50" s="9" t="s">
        <v>142</v>
      </c>
      <c r="C50" s="16" t="e">
        <f ca="1">C17*C23*C22*C27*(C5/C7)*(C36*C49/C18)</f>
        <v>#NAME?</v>
      </c>
      <c r="D50" s="9" t="s">
        <v>143</v>
      </c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  <c r="AA50" s="9"/>
    </row>
    <row r="51" spans="1:27">
      <c r="A51" s="9" t="s">
        <v>144</v>
      </c>
      <c r="B51" s="9" t="s">
        <v>145</v>
      </c>
      <c r="C51" s="16" t="e">
        <f ca="1">C17*C23*C22*C28*(C5/C7)*(C36*C49/C19)</f>
        <v>#NAME?</v>
      </c>
      <c r="D51" s="9" t="s">
        <v>143</v>
      </c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  <c r="AA51" s="9"/>
    </row>
    <row r="52" spans="1:27">
      <c r="A52" s="9" t="s">
        <v>146</v>
      </c>
      <c r="B52" s="9" t="s">
        <v>147</v>
      </c>
      <c r="C52" s="16" t="e">
        <f ca="1">C21*SQRT(C17*C23*C22*C27*(C36/(C9*C7))*(C24/C20))</f>
        <v>#NAME?</v>
      </c>
      <c r="D52" s="9" t="s">
        <v>143</v>
      </c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  <c r="AA52" s="9"/>
    </row>
    <row r="53" spans="1:27">
      <c r="A53" s="9" t="s">
        <v>148</v>
      </c>
      <c r="B53" s="9" t="s">
        <v>149</v>
      </c>
      <c r="C53" s="16" t="e">
        <f ca="1">C21*SQRT(C17*C23*C22*C28*(C36/(C9*C7))*(C24/C20))</f>
        <v>#NAME?</v>
      </c>
      <c r="D53" s="9" t="s">
        <v>143</v>
      </c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  <c r="AA53" s="9"/>
    </row>
    <row r="54" spans="1:27">
      <c r="A54" s="9" t="s">
        <v>150</v>
      </c>
      <c r="B54" s="9" t="s">
        <v>151</v>
      </c>
      <c r="C54" s="13" t="e">
        <f ca="1">C39*C42/(C48*C47*C50)</f>
        <v>#NAME?</v>
      </c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  <c r="AA54" s="9"/>
    </row>
    <row r="55" spans="1:27">
      <c r="A55" s="9" t="s">
        <v>152</v>
      </c>
      <c r="B55" s="9" t="s">
        <v>153</v>
      </c>
      <c r="C55" s="13" t="e">
        <f ca="1">C39*C43/(C48*C47*C51)</f>
        <v>#NAME?</v>
      </c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  <c r="AA55" s="9"/>
    </row>
    <row r="56" spans="1:27">
      <c r="A56" s="9" t="s">
        <v>154</v>
      </c>
      <c r="B56" s="9" t="s">
        <v>155</v>
      </c>
      <c r="C56" s="13" t="e">
        <f ca="1">C40*C44*C37/(C48*C47*C52)</f>
        <v>#NAME?</v>
      </c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  <c r="AA56" s="9"/>
    </row>
    <row r="57" spans="1:27">
      <c r="A57" s="9" t="s">
        <v>156</v>
      </c>
      <c r="B57" s="9" t="s">
        <v>157</v>
      </c>
      <c r="C57" s="13" t="e">
        <f ca="1">C40*C45*C38/(C48*C47*C53)</f>
        <v>#NAME?</v>
      </c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  <c r="AA57" s="9"/>
    </row>
    <row r="58" spans="1:27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  <c r="AA58" s="9"/>
    </row>
    <row r="59" spans="1:27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  <c r="AA59" s="9"/>
    </row>
    <row r="60" spans="1:27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  <c r="AA60" s="9"/>
    </row>
    <row r="61" spans="1:27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  <c r="AA61" s="9"/>
    </row>
    <row r="62" spans="1:27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  <c r="AA62" s="9"/>
    </row>
    <row r="63" spans="1:27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  <c r="AA63" s="9"/>
    </row>
    <row r="64" spans="1:27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  <c r="AA64" s="9"/>
    </row>
    <row r="65" spans="1:27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  <c r="AA65" s="9"/>
    </row>
    <row r="66" spans="1:27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  <c r="AA66" s="9"/>
    </row>
    <row r="67" spans="1:27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  <c r="AA67" s="9"/>
    </row>
    <row r="68" spans="1:27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  <c r="AA68" s="9"/>
    </row>
    <row r="69" spans="1:27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  <c r="AA69" s="9"/>
    </row>
    <row r="70" spans="1:27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  <c r="AA70" s="9"/>
    </row>
    <row r="71" spans="1:27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  <c r="AA71" s="9"/>
    </row>
    <row r="72" spans="1:27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  <c r="AA72" s="9"/>
    </row>
    <row r="73" spans="1:27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  <c r="AA73" s="9"/>
    </row>
    <row r="74" spans="1:27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  <c r="AA74" s="9"/>
    </row>
    <row r="75" spans="1:27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  <c r="AA75" s="9"/>
    </row>
    <row r="76" spans="1:27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  <c r="AA76" s="9"/>
    </row>
    <row r="77" spans="1:27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  <c r="AA77" s="9"/>
    </row>
    <row r="78" spans="1:27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  <c r="AA78" s="9"/>
    </row>
    <row r="79" spans="1:27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  <c r="AA79" s="9"/>
    </row>
    <row r="80" spans="1:27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  <c r="AA80" s="9"/>
    </row>
    <row r="81" spans="1:27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  <c r="AA81" s="9"/>
    </row>
    <row r="82" spans="1:27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  <c r="AA82" s="9"/>
    </row>
    <row r="83" spans="1:27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  <c r="AA83" s="9"/>
    </row>
    <row r="84" spans="1:27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  <c r="AA84" s="9"/>
    </row>
    <row r="85" spans="1:27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  <c r="AA85" s="9"/>
    </row>
    <row r="86" spans="1:27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  <c r="AA86" s="9"/>
    </row>
    <row r="87" spans="1:27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  <c r="AA87" s="9"/>
    </row>
    <row r="88" spans="1:27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  <c r="AA88" s="9"/>
    </row>
    <row r="89" spans="1:27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  <c r="AA89" s="9"/>
    </row>
    <row r="90" spans="1:27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  <c r="AA90" s="9"/>
    </row>
    <row r="91" spans="1:27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  <c r="AA91" s="9"/>
    </row>
    <row r="92" spans="1:27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  <c r="AA92" s="9"/>
    </row>
    <row r="93" spans="1:27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  <c r="AA93" s="9"/>
    </row>
    <row r="94" spans="1:27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  <c r="AA94" s="9"/>
    </row>
    <row r="95" spans="1:27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  <c r="AA95" s="9"/>
    </row>
    <row r="96" spans="1:27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  <c r="AA96" s="9"/>
    </row>
    <row r="97" spans="1:27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  <c r="AA97" s="9"/>
    </row>
    <row r="98" spans="1:27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  <c r="AA98" s="9"/>
    </row>
    <row r="99" spans="1:27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  <c r="AA99" s="9"/>
    </row>
    <row r="100" spans="1:27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  <c r="AA100" s="9"/>
    </row>
    <row r="101" spans="1:27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  <c r="AA101" s="9"/>
    </row>
    <row r="102" spans="1:27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  <c r="AA102" s="9"/>
    </row>
    <row r="103" spans="1:27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  <c r="AA103" s="9"/>
    </row>
    <row r="104" spans="1:27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  <c r="AA104" s="9"/>
    </row>
    <row r="105" spans="1:27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  <c r="AA105" s="9"/>
    </row>
    <row r="106" spans="1:27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  <c r="AA106" s="9"/>
    </row>
    <row r="107" spans="1:27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  <c r="AA107" s="9"/>
    </row>
    <row r="108" spans="1:27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  <c r="AA108" s="9"/>
    </row>
    <row r="109" spans="1:27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  <c r="AA109" s="9"/>
    </row>
    <row r="110" spans="1:27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  <c r="AA110" s="9"/>
    </row>
    <row r="111" spans="1:27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  <c r="AA111" s="9"/>
    </row>
    <row r="112" spans="1:27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  <c r="AA112" s="9"/>
    </row>
    <row r="113" spans="1:27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  <c r="AA113" s="9"/>
    </row>
    <row r="114" spans="1:27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  <c r="AA114" s="9"/>
    </row>
    <row r="115" spans="1:27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  <c r="AA115" s="9"/>
    </row>
    <row r="116" spans="1:27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  <c r="AA116" s="9"/>
    </row>
    <row r="117" spans="1:27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  <c r="AA117" s="9"/>
    </row>
    <row r="118" spans="1:27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  <c r="AA118" s="9"/>
    </row>
    <row r="119" spans="1:27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  <c r="AA119" s="9"/>
    </row>
    <row r="120" spans="1:27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  <c r="AA120" s="9"/>
    </row>
    <row r="121" spans="1:27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  <c r="AA121" s="9"/>
    </row>
    <row r="122" spans="1:27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  <c r="AA122" s="9"/>
    </row>
    <row r="123" spans="1:27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  <c r="AA123" s="9"/>
    </row>
    <row r="124" spans="1:27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  <c r="AA124" s="9"/>
    </row>
    <row r="125" spans="1:27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  <c r="AA125" s="9"/>
    </row>
    <row r="126" spans="1:27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  <c r="AA126" s="9"/>
    </row>
    <row r="127" spans="1:27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  <c r="AA127" s="9"/>
    </row>
    <row r="128" spans="1:27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  <c r="AA128" s="9"/>
    </row>
    <row r="129" spans="1:27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  <c r="AA129" s="9"/>
    </row>
    <row r="130" spans="1:27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  <c r="AA130" s="9"/>
    </row>
    <row r="131" spans="1:27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  <c r="AA131" s="9"/>
    </row>
    <row r="132" spans="1:27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  <c r="AA132" s="9"/>
    </row>
    <row r="133" spans="1:27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  <c r="AA133" s="9"/>
    </row>
    <row r="134" spans="1:27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  <c r="AA134" s="9"/>
    </row>
    <row r="135" spans="1:27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  <c r="AA135" s="9"/>
    </row>
    <row r="136" spans="1:27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  <c r="AA136" s="9"/>
    </row>
    <row r="137" spans="1:27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  <c r="AA137" s="9"/>
    </row>
    <row r="138" spans="1:27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  <c r="AA138" s="9"/>
    </row>
    <row r="139" spans="1:27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  <c r="AA139" s="9"/>
    </row>
    <row r="140" spans="1:27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  <c r="AA140" s="9"/>
    </row>
    <row r="141" spans="1:27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  <c r="AA141" s="9"/>
    </row>
    <row r="142" spans="1:27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  <c r="AA142" s="9"/>
    </row>
    <row r="143" spans="1:27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  <c r="AA143" s="9"/>
    </row>
    <row r="144" spans="1:27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  <c r="AA144" s="9"/>
    </row>
    <row r="145" spans="1:27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  <c r="AA145" s="9"/>
    </row>
    <row r="146" spans="1:27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  <c r="AA146" s="9"/>
    </row>
    <row r="147" spans="1:27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  <c r="AA147" s="9"/>
    </row>
    <row r="148" spans="1:27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  <c r="AA148" s="9"/>
    </row>
    <row r="149" spans="1:27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  <c r="AA149" s="9"/>
    </row>
    <row r="150" spans="1:27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  <c r="AA150" s="9"/>
    </row>
    <row r="151" spans="1:27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  <c r="AA151" s="9"/>
    </row>
    <row r="152" spans="1:27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  <c r="AA152" s="9"/>
    </row>
    <row r="153" spans="1:27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  <c r="AA153" s="9"/>
    </row>
    <row r="154" spans="1:27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  <c r="AA154" s="9"/>
    </row>
    <row r="155" spans="1:27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  <c r="AA155" s="9"/>
    </row>
    <row r="156" spans="1:27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  <c r="AA156" s="9"/>
    </row>
    <row r="157" spans="1:27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  <c r="AA157" s="9"/>
    </row>
    <row r="158" spans="1:27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  <c r="AA158" s="9"/>
    </row>
    <row r="159" spans="1:27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  <c r="AA159" s="9"/>
    </row>
    <row r="160" spans="1:27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  <c r="AA160" s="9"/>
    </row>
    <row r="161" spans="1:27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  <c r="AA161" s="9"/>
    </row>
    <row r="162" spans="1:27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  <c r="AA162" s="9"/>
    </row>
    <row r="163" spans="1:27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  <c r="AA163" s="9"/>
    </row>
    <row r="164" spans="1:27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  <c r="AA164" s="9"/>
    </row>
    <row r="165" spans="1:27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  <c r="AA165" s="9"/>
    </row>
    <row r="166" spans="1:27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  <c r="AA166" s="9"/>
    </row>
    <row r="167" spans="1:27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  <c r="AA167" s="9"/>
    </row>
    <row r="168" spans="1:27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  <c r="AA168" s="9"/>
    </row>
    <row r="169" spans="1:27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  <c r="AA169" s="9"/>
    </row>
    <row r="170" spans="1:27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  <c r="AA170" s="9"/>
    </row>
    <row r="171" spans="1:27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  <c r="AA171" s="9"/>
    </row>
    <row r="172" spans="1:27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  <c r="AA172" s="9"/>
    </row>
    <row r="173" spans="1:27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  <c r="AA173" s="9"/>
    </row>
    <row r="174" spans="1:27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  <c r="AA174" s="9"/>
    </row>
    <row r="175" spans="1:27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  <c r="AA175" s="9"/>
    </row>
    <row r="176" spans="1:27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  <c r="AA176" s="9"/>
    </row>
    <row r="177" spans="1:27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  <c r="AA177" s="9"/>
    </row>
    <row r="178" spans="1:27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  <c r="AA178" s="9"/>
    </row>
    <row r="179" spans="1:27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  <c r="AA179" s="9"/>
    </row>
    <row r="180" spans="1:27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  <c r="AA180" s="9"/>
    </row>
    <row r="181" spans="1:27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  <c r="AA181" s="9"/>
    </row>
    <row r="182" spans="1:27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  <c r="AA182" s="9"/>
    </row>
    <row r="183" spans="1:27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  <c r="AA183" s="9"/>
    </row>
    <row r="184" spans="1:27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  <c r="AA184" s="9"/>
    </row>
    <row r="185" spans="1:27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  <c r="AA185" s="9"/>
    </row>
    <row r="186" spans="1:27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  <c r="AA186" s="9"/>
    </row>
    <row r="187" spans="1:27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  <c r="AA187" s="9"/>
    </row>
    <row r="188" spans="1:27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  <c r="AA188" s="9"/>
    </row>
    <row r="189" spans="1:27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  <c r="AA189" s="9"/>
    </row>
    <row r="190" spans="1:27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  <c r="AA190" s="9"/>
    </row>
    <row r="191" spans="1:27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  <c r="AA191" s="9"/>
    </row>
    <row r="192" spans="1:27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  <c r="AA192" s="9"/>
    </row>
    <row r="193" spans="1:27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  <c r="AA193" s="9"/>
    </row>
    <row r="194" spans="1:27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  <c r="AA194" s="9"/>
    </row>
    <row r="195" spans="1:27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  <c r="AA195" s="9"/>
    </row>
    <row r="196" spans="1:27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  <c r="AA196" s="9"/>
    </row>
    <row r="197" spans="1:27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  <c r="AA197" s="9"/>
    </row>
    <row r="198" spans="1:27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  <c r="AA198" s="9"/>
    </row>
    <row r="199" spans="1:27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  <c r="AA199" s="9"/>
    </row>
    <row r="200" spans="1:27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  <c r="AA200" s="9"/>
    </row>
    <row r="201" spans="1:27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  <c r="AA201" s="9"/>
    </row>
    <row r="202" spans="1:27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  <c r="AA202" s="9"/>
    </row>
    <row r="203" spans="1:27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  <c r="AA203" s="9"/>
    </row>
    <row r="204" spans="1:27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  <c r="AA204" s="9"/>
    </row>
    <row r="205" spans="1:27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  <c r="AA205" s="9"/>
    </row>
    <row r="206" spans="1:27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  <c r="AA206" s="9"/>
    </row>
    <row r="207" spans="1:27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  <c r="AA207" s="9"/>
    </row>
    <row r="208" spans="1:27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  <c r="AA208" s="9"/>
    </row>
    <row r="209" spans="1:27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  <c r="AA209" s="9"/>
    </row>
    <row r="210" spans="1:27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  <c r="AA210" s="9"/>
    </row>
    <row r="211" spans="1:27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  <c r="AA211" s="9"/>
    </row>
    <row r="212" spans="1:27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  <c r="AA212" s="9"/>
    </row>
    <row r="213" spans="1:27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  <c r="AA213" s="9"/>
    </row>
    <row r="214" spans="1:27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  <c r="AA214" s="9"/>
    </row>
    <row r="215" spans="1:27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  <c r="AA215" s="9"/>
    </row>
    <row r="216" spans="1:27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  <c r="AA216" s="9"/>
    </row>
    <row r="217" spans="1:27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  <c r="AA217" s="9"/>
    </row>
    <row r="218" spans="1:27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  <c r="AA218" s="9"/>
    </row>
    <row r="219" spans="1:27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  <c r="AA219" s="9"/>
    </row>
    <row r="220" spans="1:27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  <c r="AA220" s="9"/>
    </row>
    <row r="221" spans="1:27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  <c r="AA221" s="9"/>
    </row>
    <row r="222" spans="1:27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  <c r="AA222" s="9"/>
    </row>
    <row r="223" spans="1:27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  <c r="AA223" s="9"/>
    </row>
    <row r="224" spans="1:27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  <c r="AA224" s="9"/>
    </row>
    <row r="225" spans="1:27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  <c r="AA225" s="9"/>
    </row>
    <row r="226" spans="1:27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  <c r="AA226" s="9"/>
    </row>
    <row r="227" spans="1:27">
      <c r="A227" s="9"/>
      <c r="B227" s="9"/>
      <c r="C227" s="9"/>
      <c r="D227" s="9"/>
      <c r="E227" s="9"/>
      <c r="F227" s="9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  <c r="AA227" s="9"/>
    </row>
    <row r="228" spans="1:27">
      <c r="A228" s="9"/>
      <c r="B228" s="9"/>
      <c r="C228" s="9"/>
      <c r="D228" s="9"/>
      <c r="E228" s="9"/>
      <c r="F228" s="9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  <c r="AA228" s="9"/>
    </row>
    <row r="229" spans="1:27">
      <c r="A229" s="9"/>
      <c r="B229" s="9"/>
      <c r="C229" s="9"/>
      <c r="D229" s="9"/>
      <c r="E229" s="9"/>
      <c r="F229" s="9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  <c r="AA229" s="9"/>
    </row>
    <row r="230" spans="1:27">
      <c r="A230" s="9"/>
      <c r="B230" s="9"/>
      <c r="C230" s="9"/>
      <c r="D230" s="9"/>
      <c r="E230" s="9"/>
      <c r="F230" s="9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  <c r="AA230" s="9"/>
    </row>
    <row r="231" spans="1:27">
      <c r="A231" s="9"/>
      <c r="B231" s="9"/>
      <c r="C231" s="9"/>
      <c r="D231" s="9"/>
      <c r="E231" s="9"/>
      <c r="F231" s="9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  <c r="AA231" s="9"/>
    </row>
    <row r="232" spans="1:27">
      <c r="A232" s="9"/>
      <c r="B232" s="9"/>
      <c r="C232" s="9"/>
      <c r="D232" s="9"/>
      <c r="E232" s="9"/>
      <c r="F232" s="9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  <c r="AA232" s="9"/>
    </row>
    <row r="233" spans="1:27">
      <c r="A233" s="9"/>
      <c r="B233" s="9"/>
      <c r="C233" s="9"/>
      <c r="D233" s="9"/>
      <c r="E233" s="9"/>
      <c r="F233" s="9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  <c r="AA233" s="9"/>
    </row>
    <row r="234" spans="1:27">
      <c r="A234" s="9"/>
      <c r="B234" s="9"/>
      <c r="C234" s="9"/>
      <c r="D234" s="9"/>
      <c r="E234" s="9"/>
      <c r="F234" s="9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  <c r="AA234" s="9"/>
    </row>
    <row r="235" spans="1:27">
      <c r="A235" s="9"/>
      <c r="B235" s="9"/>
      <c r="C235" s="9"/>
      <c r="D235" s="9"/>
      <c r="E235" s="9"/>
      <c r="F235" s="9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  <c r="AA235" s="9"/>
    </row>
    <row r="236" spans="1:27">
      <c r="A236" s="9"/>
      <c r="B236" s="9"/>
      <c r="C236" s="9"/>
      <c r="D236" s="9"/>
      <c r="E236" s="9"/>
      <c r="F236" s="9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  <c r="AA236" s="9"/>
    </row>
    <row r="237" spans="1:27">
      <c r="A237" s="9"/>
      <c r="B237" s="9"/>
      <c r="C237" s="9"/>
      <c r="D237" s="9"/>
      <c r="E237" s="9"/>
      <c r="F237" s="9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  <c r="AA237" s="9"/>
    </row>
    <row r="238" spans="1:27">
      <c r="A238" s="9"/>
      <c r="B238" s="9"/>
      <c r="C238" s="9"/>
      <c r="D238" s="9"/>
      <c r="E238" s="9"/>
      <c r="F238" s="9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  <c r="AA238" s="9"/>
    </row>
    <row r="239" spans="1:27">
      <c r="A239" s="9"/>
      <c r="B239" s="9"/>
      <c r="C239" s="9"/>
      <c r="D239" s="9"/>
      <c r="E239" s="9"/>
      <c r="F239" s="9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  <c r="AA239" s="9"/>
    </row>
    <row r="240" spans="1:27">
      <c r="A240" s="9"/>
      <c r="B240" s="9"/>
      <c r="C240" s="9"/>
      <c r="D240" s="9"/>
      <c r="E240" s="9"/>
      <c r="F240" s="9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  <c r="AA240" s="9"/>
    </row>
    <row r="241" spans="1:27">
      <c r="A241" s="9"/>
      <c r="B241" s="9"/>
      <c r="C241" s="9"/>
      <c r="D241" s="9"/>
      <c r="E241" s="9"/>
      <c r="F241" s="9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  <c r="AA241" s="9"/>
    </row>
    <row r="242" spans="1:27">
      <c r="A242" s="9"/>
      <c r="B242" s="9"/>
      <c r="C242" s="9"/>
      <c r="D242" s="9"/>
      <c r="E242" s="9"/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  <c r="AA242" s="9"/>
    </row>
    <row r="243" spans="1:27">
      <c r="A243" s="9"/>
      <c r="B243" s="9"/>
      <c r="C243" s="9"/>
      <c r="D243" s="9"/>
      <c r="E243" s="9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  <c r="AA243" s="9"/>
    </row>
    <row r="244" spans="1:27">
      <c r="A244" s="9"/>
      <c r="B244" s="9"/>
      <c r="C244" s="9"/>
      <c r="D244" s="9"/>
      <c r="E244" s="9"/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  <c r="AA244" s="9"/>
    </row>
    <row r="245" spans="1:27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  <c r="AA245" s="9"/>
    </row>
    <row r="246" spans="1:27">
      <c r="A246" s="9"/>
      <c r="B246" s="9"/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  <c r="AA246" s="9"/>
    </row>
    <row r="247" spans="1:27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  <c r="AA247" s="9"/>
    </row>
    <row r="248" spans="1:27">
      <c r="A248" s="9"/>
      <c r="B248" s="9"/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  <c r="AA248" s="9"/>
    </row>
    <row r="249" spans="1:27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  <c r="AA249" s="9"/>
    </row>
    <row r="250" spans="1:27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  <c r="AA250" s="9"/>
    </row>
    <row r="251" spans="1:27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  <c r="AA251" s="9"/>
    </row>
    <row r="252" spans="1:27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  <c r="AA252" s="9"/>
    </row>
    <row r="253" spans="1:27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  <c r="AA253" s="9"/>
    </row>
    <row r="254" spans="1:27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  <c r="AA254" s="9"/>
    </row>
    <row r="255" spans="1:27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  <c r="AA255" s="9"/>
    </row>
    <row r="256" spans="1:27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  <c r="AA256" s="9"/>
    </row>
    <row r="257" spans="1:27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  <c r="AA257" s="9"/>
    </row>
    <row r="258" spans="1:27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  <c r="AA258" s="9"/>
    </row>
    <row r="259" spans="1:27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  <c r="AA259" s="9"/>
    </row>
    <row r="260" spans="1:27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  <c r="AA260" s="9"/>
    </row>
    <row r="261" spans="1:27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  <c r="AA261" s="9"/>
    </row>
    <row r="262" spans="1:27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  <c r="AA262" s="9"/>
    </row>
    <row r="263" spans="1:27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  <c r="AA263" s="9"/>
    </row>
    <row r="264" spans="1:27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  <c r="AA264" s="9"/>
    </row>
    <row r="265" spans="1:27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  <c r="AA265" s="9"/>
    </row>
    <row r="266" spans="1:27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  <c r="AA266" s="9"/>
    </row>
    <row r="267" spans="1:27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  <c r="AA267" s="9"/>
    </row>
    <row r="268" spans="1:27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  <c r="AA268" s="9"/>
    </row>
    <row r="269" spans="1:27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  <c r="AA269" s="9"/>
    </row>
    <row r="270" spans="1:27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  <c r="AA270" s="9"/>
    </row>
    <row r="271" spans="1:27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  <c r="AA271" s="9"/>
    </row>
    <row r="272" spans="1:27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  <c r="AA272" s="9"/>
    </row>
    <row r="273" spans="1:27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  <c r="AA273" s="9"/>
    </row>
    <row r="274" spans="1:27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  <c r="AA274" s="9"/>
    </row>
    <row r="275" spans="1:27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  <c r="AA275" s="9"/>
    </row>
    <row r="276" spans="1:27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  <c r="AA276" s="9"/>
    </row>
    <row r="277" spans="1:27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  <c r="AA277" s="9"/>
    </row>
    <row r="278" spans="1:27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  <c r="AA278" s="9"/>
    </row>
    <row r="279" spans="1:27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  <c r="AA279" s="9"/>
    </row>
    <row r="280" spans="1:27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  <c r="AA280" s="9"/>
    </row>
    <row r="281" spans="1:27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  <c r="AA281" s="9"/>
    </row>
    <row r="282" spans="1:27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  <c r="AA282" s="9"/>
    </row>
    <row r="283" spans="1:27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  <c r="AA283" s="9"/>
    </row>
    <row r="284" spans="1:27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  <c r="AA284" s="9"/>
    </row>
    <row r="285" spans="1:27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  <c r="AA285" s="9"/>
    </row>
    <row r="286" spans="1:27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  <c r="AA286" s="9"/>
    </row>
    <row r="287" spans="1:27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  <c r="AA287" s="9"/>
    </row>
    <row r="288" spans="1:27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  <c r="AA288" s="9"/>
    </row>
    <row r="289" spans="1:27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  <c r="AA289" s="9"/>
    </row>
    <row r="290" spans="1:27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  <c r="AA290" s="9"/>
    </row>
    <row r="291" spans="1:27">
      <c r="A291" s="9"/>
      <c r="B291" s="9"/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  <c r="AA291" s="9"/>
    </row>
    <row r="292" spans="1:27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  <c r="AA292" s="9"/>
    </row>
    <row r="293" spans="1:27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  <c r="AA293" s="9"/>
    </row>
    <row r="294" spans="1:27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  <c r="AA294" s="9"/>
    </row>
    <row r="295" spans="1:27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  <c r="AA295" s="9"/>
    </row>
    <row r="296" spans="1:27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  <c r="AA296" s="9"/>
    </row>
    <row r="297" spans="1:27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  <c r="AA297" s="9"/>
    </row>
    <row r="298" spans="1:27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  <c r="AA298" s="9"/>
    </row>
    <row r="299" spans="1:27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  <c r="AA299" s="9"/>
    </row>
    <row r="300" spans="1:27">
      <c r="A300" s="9"/>
      <c r="B300" s="9"/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  <c r="AA300" s="9"/>
    </row>
    <row r="301" spans="1:27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  <c r="AA301" s="9"/>
    </row>
    <row r="302" spans="1:27">
      <c r="A302" s="9"/>
      <c r="B302" s="9"/>
      <c r="C302" s="9"/>
      <c r="D302" s="9"/>
      <c r="E302" s="9"/>
      <c r="F302" s="9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  <c r="AA302" s="9"/>
    </row>
    <row r="303" spans="1:27">
      <c r="A303" s="9"/>
      <c r="B303" s="9"/>
      <c r="C303" s="9"/>
      <c r="D303" s="9"/>
      <c r="E303" s="9"/>
      <c r="F303" s="9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  <c r="AA303" s="9"/>
    </row>
    <row r="304" spans="1:27">
      <c r="A304" s="9"/>
      <c r="B304" s="9"/>
      <c r="C304" s="9"/>
      <c r="D304" s="9"/>
      <c r="E304" s="9"/>
      <c r="F304" s="9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  <c r="AA304" s="9"/>
    </row>
    <row r="305" spans="1:27">
      <c r="A305" s="9"/>
      <c r="B305" s="9"/>
      <c r="C305" s="9"/>
      <c r="D305" s="9"/>
      <c r="E305" s="9"/>
      <c r="F305" s="9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  <c r="AA305" s="9"/>
    </row>
    <row r="306" spans="1:27">
      <c r="A306" s="9"/>
      <c r="B306" s="9"/>
      <c r="C306" s="9"/>
      <c r="D306" s="9"/>
      <c r="E306" s="9"/>
      <c r="F306" s="9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  <c r="AA306" s="9"/>
    </row>
    <row r="307" spans="1:27">
      <c r="A307" s="9"/>
      <c r="B307" s="9"/>
      <c r="C307" s="9"/>
      <c r="D307" s="9"/>
      <c r="E307" s="9"/>
      <c r="F307" s="9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  <c r="AA307" s="9"/>
    </row>
    <row r="308" spans="1:27">
      <c r="A308" s="9"/>
      <c r="B308" s="9"/>
      <c r="C308" s="9"/>
      <c r="D308" s="9"/>
      <c r="E308" s="9"/>
      <c r="F308" s="9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  <c r="AA308" s="9"/>
    </row>
    <row r="309" spans="1:27">
      <c r="A309" s="9"/>
      <c r="B309" s="9"/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  <c r="AA309" s="9"/>
    </row>
    <row r="310" spans="1:27">
      <c r="A310" s="9"/>
      <c r="B310" s="9"/>
      <c r="C310" s="9"/>
      <c r="D310" s="9"/>
      <c r="E310" s="9"/>
      <c r="F310" s="9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  <c r="AA310" s="9"/>
    </row>
    <row r="311" spans="1:27">
      <c r="A311" s="9"/>
      <c r="B311" s="9"/>
      <c r="C311" s="9"/>
      <c r="D311" s="9"/>
      <c r="E311" s="9"/>
      <c r="F311" s="9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  <c r="AA311" s="9"/>
    </row>
    <row r="312" spans="1:27">
      <c r="A312" s="9"/>
      <c r="B312" s="9"/>
      <c r="C312" s="9"/>
      <c r="D312" s="9"/>
      <c r="E312" s="9"/>
      <c r="F312" s="9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  <c r="AA312" s="9"/>
    </row>
    <row r="313" spans="1:27">
      <c r="A313" s="9"/>
      <c r="B313" s="9"/>
      <c r="C313" s="9"/>
      <c r="D313" s="9"/>
      <c r="E313" s="9"/>
      <c r="F313" s="9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  <c r="AA313" s="9"/>
    </row>
    <row r="314" spans="1:27">
      <c r="A314" s="9"/>
      <c r="B314" s="9"/>
      <c r="C314" s="9"/>
      <c r="D314" s="9"/>
      <c r="E314" s="9"/>
      <c r="F314" s="9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  <c r="AA314" s="9"/>
    </row>
    <row r="315" spans="1:27">
      <c r="A315" s="9"/>
      <c r="B315" s="9"/>
      <c r="C315" s="9"/>
      <c r="D315" s="9"/>
      <c r="E315" s="9"/>
      <c r="F315" s="9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  <c r="AA315" s="9"/>
    </row>
    <row r="316" spans="1:27">
      <c r="A316" s="9"/>
      <c r="B316" s="9"/>
      <c r="C316" s="9"/>
      <c r="D316" s="9"/>
      <c r="E316" s="9"/>
      <c r="F316" s="9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  <c r="AA316" s="9"/>
    </row>
    <row r="317" spans="1:27">
      <c r="A317" s="9"/>
      <c r="B317" s="9"/>
      <c r="C317" s="9"/>
      <c r="D317" s="9"/>
      <c r="E317" s="9"/>
      <c r="F317" s="9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  <c r="AA317" s="9"/>
    </row>
    <row r="318" spans="1:27">
      <c r="A318" s="9"/>
      <c r="B318" s="9"/>
      <c r="C318" s="9"/>
      <c r="D318" s="9"/>
      <c r="E318" s="9"/>
      <c r="F318" s="9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  <c r="AA318" s="9"/>
    </row>
    <row r="319" spans="1:27">
      <c r="A319" s="9"/>
      <c r="B319" s="9"/>
      <c r="C319" s="9"/>
      <c r="D319" s="9"/>
      <c r="E319" s="9"/>
      <c r="F319" s="9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  <c r="AA319" s="9"/>
    </row>
    <row r="320" spans="1:27">
      <c r="A320" s="9"/>
      <c r="B320" s="9"/>
      <c r="C320" s="9"/>
      <c r="D320" s="9"/>
      <c r="E320" s="9"/>
      <c r="F320" s="9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  <c r="AA320" s="9"/>
    </row>
    <row r="321" spans="1:27">
      <c r="A321" s="9"/>
      <c r="B321" s="9"/>
      <c r="C321" s="9"/>
      <c r="D321" s="9"/>
      <c r="E321" s="9"/>
      <c r="F321" s="9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  <c r="AA321" s="9"/>
    </row>
    <row r="322" spans="1:27">
      <c r="A322" s="9"/>
      <c r="B322" s="9"/>
      <c r="C322" s="9"/>
      <c r="D322" s="9"/>
      <c r="E322" s="9"/>
      <c r="F322" s="9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  <c r="AA322" s="9"/>
    </row>
    <row r="323" spans="1:27">
      <c r="A323" s="9"/>
      <c r="B323" s="9"/>
      <c r="C323" s="9"/>
      <c r="D323" s="9"/>
      <c r="E323" s="9"/>
      <c r="F323" s="9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  <c r="AA323" s="9"/>
    </row>
    <row r="324" spans="1:27">
      <c r="A324" s="9"/>
      <c r="B324" s="9"/>
      <c r="C324" s="9"/>
      <c r="D324" s="9"/>
      <c r="E324" s="9"/>
      <c r="F324" s="9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  <c r="AA324" s="9"/>
    </row>
    <row r="325" spans="1:27">
      <c r="A325" s="9"/>
      <c r="B325" s="9"/>
      <c r="C325" s="9"/>
      <c r="D325" s="9"/>
      <c r="E325" s="9"/>
      <c r="F325" s="9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  <c r="AA325" s="9"/>
    </row>
    <row r="326" spans="1:27">
      <c r="A326" s="9"/>
      <c r="B326" s="9"/>
      <c r="C326" s="9"/>
      <c r="D326" s="9"/>
      <c r="E326" s="9"/>
      <c r="F326" s="9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  <c r="AA326" s="9"/>
    </row>
    <row r="327" spans="1:27">
      <c r="A327" s="9"/>
      <c r="B327" s="9"/>
      <c r="C327" s="9"/>
      <c r="D327" s="9"/>
      <c r="E327" s="9"/>
      <c r="F327" s="9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  <c r="AA327" s="9"/>
    </row>
    <row r="328" spans="1:27">
      <c r="A328" s="9"/>
      <c r="B328" s="9"/>
      <c r="C328" s="9"/>
      <c r="D328" s="9"/>
      <c r="E328" s="9"/>
      <c r="F328" s="9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  <c r="AA328" s="9"/>
    </row>
    <row r="329" spans="1:27">
      <c r="A329" s="9"/>
      <c r="B329" s="9"/>
      <c r="C329" s="9"/>
      <c r="D329" s="9"/>
      <c r="E329" s="9"/>
      <c r="F329" s="9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  <c r="AA329" s="9"/>
    </row>
    <row r="330" spans="1:27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  <c r="AA330" s="9"/>
    </row>
    <row r="331" spans="1:27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  <c r="AA331" s="9"/>
    </row>
    <row r="332" spans="1:27">
      <c r="A332" s="9"/>
      <c r="B332" s="9"/>
      <c r="C332" s="9"/>
      <c r="D332" s="9"/>
      <c r="E332" s="9"/>
      <c r="F332" s="9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  <c r="AA332" s="9"/>
    </row>
    <row r="333" spans="1:27">
      <c r="A333" s="9"/>
      <c r="B333" s="9"/>
      <c r="C333" s="9"/>
      <c r="D333" s="9"/>
      <c r="E333" s="9"/>
      <c r="F333" s="9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  <c r="AA333" s="9"/>
    </row>
    <row r="334" spans="1:27">
      <c r="A334" s="9"/>
      <c r="B334" s="9"/>
      <c r="C334" s="9"/>
      <c r="D334" s="9"/>
      <c r="E334" s="9"/>
      <c r="F334" s="9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  <c r="AA334" s="9"/>
    </row>
    <row r="335" spans="1:27">
      <c r="A335" s="9"/>
      <c r="B335" s="9"/>
      <c r="C335" s="9"/>
      <c r="D335" s="9"/>
      <c r="E335" s="9"/>
      <c r="F335" s="9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  <c r="AA335" s="9"/>
    </row>
    <row r="336" spans="1:27">
      <c r="A336" s="9"/>
      <c r="B336" s="9"/>
      <c r="C336" s="9"/>
      <c r="D336" s="9"/>
      <c r="E336" s="9"/>
      <c r="F336" s="9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  <c r="AA336" s="9"/>
    </row>
    <row r="337" spans="1:27">
      <c r="A337" s="9"/>
      <c r="B337" s="9"/>
      <c r="C337" s="9"/>
      <c r="D337" s="9"/>
      <c r="E337" s="9"/>
      <c r="F337" s="9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  <c r="AA337" s="9"/>
    </row>
    <row r="338" spans="1:27">
      <c r="A338" s="9"/>
      <c r="B338" s="9"/>
      <c r="C338" s="9"/>
      <c r="D338" s="9"/>
      <c r="E338" s="9"/>
      <c r="F338" s="9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  <c r="AA338" s="9"/>
    </row>
    <row r="339" spans="1:27">
      <c r="A339" s="9"/>
      <c r="B339" s="9"/>
      <c r="C339" s="9"/>
      <c r="D339" s="9"/>
      <c r="E339" s="9"/>
      <c r="F339" s="9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  <c r="AA339" s="9"/>
    </row>
    <row r="340" spans="1:27">
      <c r="A340" s="9"/>
      <c r="B340" s="9"/>
      <c r="C340" s="9"/>
      <c r="D340" s="9"/>
      <c r="E340" s="9"/>
      <c r="F340" s="9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  <c r="AA340" s="9"/>
    </row>
    <row r="341" spans="1:27">
      <c r="A341" s="9"/>
      <c r="B341" s="9"/>
      <c r="C341" s="9"/>
      <c r="D341" s="9"/>
      <c r="E341" s="9"/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  <c r="AA341" s="9"/>
    </row>
    <row r="342" spans="1:27">
      <c r="A342" s="9"/>
      <c r="B342" s="9"/>
      <c r="C342" s="9"/>
      <c r="D342" s="9"/>
      <c r="E342" s="9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  <c r="AA342" s="9"/>
    </row>
    <row r="343" spans="1:27">
      <c r="A343" s="9"/>
      <c r="B343" s="9"/>
      <c r="C343" s="9"/>
      <c r="D343" s="9"/>
      <c r="E343" s="9"/>
      <c r="F343" s="9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  <c r="AA343" s="9"/>
    </row>
    <row r="344" spans="1:27">
      <c r="A344" s="9"/>
      <c r="B344" s="9"/>
      <c r="C344" s="9"/>
      <c r="D344" s="9"/>
      <c r="E344" s="9"/>
      <c r="F344" s="9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  <c r="AA344" s="9"/>
    </row>
    <row r="345" spans="1:27">
      <c r="A345" s="9"/>
      <c r="B345" s="9"/>
      <c r="C345" s="9"/>
      <c r="D345" s="9"/>
      <c r="E345" s="9"/>
      <c r="F345" s="9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  <c r="AA345" s="9"/>
    </row>
    <row r="346" spans="1:27">
      <c r="A346" s="9"/>
      <c r="B346" s="9"/>
      <c r="C346" s="9"/>
      <c r="D346" s="9"/>
      <c r="E346" s="9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  <c r="AA346" s="9"/>
    </row>
    <row r="347" spans="1:27">
      <c r="A347" s="9"/>
      <c r="B347" s="9"/>
      <c r="C347" s="9"/>
      <c r="D347" s="9"/>
      <c r="E347" s="9"/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  <c r="AA347" s="9"/>
    </row>
    <row r="348" spans="1:27">
      <c r="A348" s="9"/>
      <c r="B348" s="9"/>
      <c r="C348" s="9"/>
      <c r="D348" s="9"/>
      <c r="E348" s="9"/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  <c r="AA348" s="9"/>
    </row>
    <row r="349" spans="1:27">
      <c r="A349" s="9"/>
      <c r="B349" s="9"/>
      <c r="C349" s="9"/>
      <c r="D349" s="9"/>
      <c r="E349" s="9"/>
      <c r="F349" s="9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  <c r="AA349" s="9"/>
    </row>
    <row r="350" spans="1:27">
      <c r="A350" s="9"/>
      <c r="B350" s="9"/>
      <c r="C350" s="9"/>
      <c r="D350" s="9"/>
      <c r="E350" s="9"/>
      <c r="F350" s="9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  <c r="AA350" s="9"/>
    </row>
    <row r="351" spans="1:27">
      <c r="A351" s="9"/>
      <c r="B351" s="9"/>
      <c r="C351" s="9"/>
      <c r="D351" s="9"/>
      <c r="E351" s="9"/>
      <c r="F351" s="9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  <c r="AA351" s="9"/>
    </row>
    <row r="352" spans="1:27">
      <c r="A352" s="9"/>
      <c r="B352" s="9"/>
      <c r="C352" s="9"/>
      <c r="D352" s="9"/>
      <c r="E352" s="9"/>
      <c r="F352" s="9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  <c r="AA352" s="9"/>
    </row>
    <row r="353" spans="1:27">
      <c r="A353" s="9"/>
      <c r="B353" s="9"/>
      <c r="C353" s="9"/>
      <c r="D353" s="9"/>
      <c r="E353" s="9"/>
      <c r="F353" s="9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  <c r="AA353" s="9"/>
    </row>
    <row r="354" spans="1:27">
      <c r="A354" s="9"/>
      <c r="B354" s="9"/>
      <c r="C354" s="9"/>
      <c r="D354" s="9"/>
      <c r="E354" s="9"/>
      <c r="F354" s="9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  <c r="AA354" s="9"/>
    </row>
    <row r="355" spans="1:27">
      <c r="A355" s="9"/>
      <c r="B355" s="9"/>
      <c r="C355" s="9"/>
      <c r="D355" s="9"/>
      <c r="E355" s="9"/>
      <c r="F355" s="9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  <c r="AA355" s="9"/>
    </row>
    <row r="356" spans="1:27">
      <c r="A356" s="9"/>
      <c r="B356" s="9"/>
      <c r="C356" s="9"/>
      <c r="D356" s="9"/>
      <c r="E356" s="9"/>
      <c r="F356" s="9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  <c r="AA356" s="9"/>
    </row>
    <row r="357" spans="1:27">
      <c r="A357" s="9"/>
      <c r="B357" s="9"/>
      <c r="C357" s="9"/>
      <c r="D357" s="9"/>
      <c r="E357" s="9"/>
      <c r="F357" s="9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  <c r="AA357" s="9"/>
    </row>
    <row r="358" spans="1:27">
      <c r="A358" s="9"/>
      <c r="B358" s="9"/>
      <c r="C358" s="9"/>
      <c r="D358" s="9"/>
      <c r="E358" s="9"/>
      <c r="F358" s="9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  <c r="AA358" s="9"/>
    </row>
    <row r="359" spans="1:27">
      <c r="A359" s="9"/>
      <c r="B359" s="9"/>
      <c r="C359" s="9"/>
      <c r="D359" s="9"/>
      <c r="E359" s="9"/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  <c r="AA359" s="9"/>
    </row>
    <row r="360" spans="1:27">
      <c r="A360" s="9"/>
      <c r="B360" s="9"/>
      <c r="C360" s="9"/>
      <c r="D360" s="9"/>
      <c r="E360" s="9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  <c r="AA360" s="9"/>
    </row>
    <row r="361" spans="1:27">
      <c r="A361" s="9"/>
      <c r="B361" s="9"/>
      <c r="C361" s="9"/>
      <c r="D361" s="9"/>
      <c r="E361" s="9"/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  <c r="AA361" s="9"/>
    </row>
    <row r="362" spans="1:27">
      <c r="A362" s="9"/>
      <c r="B362" s="9"/>
      <c r="C362" s="9"/>
      <c r="D362" s="9"/>
      <c r="E362" s="9"/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  <c r="AA362" s="9"/>
    </row>
    <row r="363" spans="1:27">
      <c r="A363" s="9"/>
      <c r="B363" s="9"/>
      <c r="C363" s="9"/>
      <c r="D363" s="9"/>
      <c r="E363" s="9"/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  <c r="AA363" s="9"/>
    </row>
    <row r="364" spans="1:27">
      <c r="A364" s="9"/>
      <c r="B364" s="9"/>
      <c r="C364" s="9"/>
      <c r="D364" s="9"/>
      <c r="E364" s="9"/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  <c r="AA364" s="9"/>
    </row>
    <row r="365" spans="1:27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  <c r="AA365" s="9"/>
    </row>
    <row r="366" spans="1:27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  <c r="AA366" s="9"/>
    </row>
    <row r="367" spans="1:27">
      <c r="A367" s="9"/>
      <c r="B367" s="9"/>
      <c r="C367" s="9"/>
      <c r="D367" s="9"/>
      <c r="E367" s="9"/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  <c r="AA367" s="9"/>
    </row>
    <row r="368" spans="1:27">
      <c r="A368" s="9"/>
      <c r="B368" s="9"/>
      <c r="C368" s="9"/>
      <c r="D368" s="9"/>
      <c r="E368" s="9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  <c r="AA368" s="9"/>
    </row>
    <row r="369" spans="1:27">
      <c r="A369" s="9"/>
      <c r="B369" s="9"/>
      <c r="C369" s="9"/>
      <c r="D369" s="9"/>
      <c r="E369" s="9"/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  <c r="AA369" s="9"/>
    </row>
    <row r="370" spans="1:27">
      <c r="A370" s="9"/>
      <c r="B370" s="9"/>
      <c r="C370" s="9"/>
      <c r="D370" s="9"/>
      <c r="E370" s="9"/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  <c r="AA370" s="9"/>
    </row>
    <row r="371" spans="1:27">
      <c r="A371" s="9"/>
      <c r="B371" s="9"/>
      <c r="C371" s="9"/>
      <c r="D371" s="9"/>
      <c r="E371" s="9"/>
      <c r="F371" s="9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  <c r="AA371" s="9"/>
    </row>
    <row r="372" spans="1:27">
      <c r="A372" s="9"/>
      <c r="B372" s="9"/>
      <c r="C372" s="9"/>
      <c r="D372" s="9"/>
      <c r="E372" s="9"/>
      <c r="F372" s="9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  <c r="AA372" s="9"/>
    </row>
    <row r="373" spans="1:27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  <c r="AA373" s="9"/>
    </row>
    <row r="374" spans="1:27">
      <c r="A374" s="9"/>
      <c r="B374" s="9"/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  <c r="AA374" s="9"/>
    </row>
    <row r="375" spans="1:27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  <c r="AA375" s="9"/>
    </row>
    <row r="376" spans="1:27">
      <c r="A376" s="9"/>
      <c r="B376" s="9"/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  <c r="AA376" s="9"/>
    </row>
    <row r="377" spans="1:27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  <c r="AA377" s="9"/>
    </row>
    <row r="378" spans="1:27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  <c r="AA378" s="9"/>
    </row>
    <row r="379" spans="1:27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  <c r="AA379" s="9"/>
    </row>
    <row r="380" spans="1:27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  <c r="AA380" s="9"/>
    </row>
    <row r="381" spans="1:27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  <c r="AA381" s="9"/>
    </row>
    <row r="382" spans="1:27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  <c r="AA382" s="9"/>
    </row>
    <row r="383" spans="1:27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  <c r="AA383" s="9"/>
    </row>
    <row r="384" spans="1:27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  <c r="AA384" s="9"/>
    </row>
    <row r="385" spans="1:27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  <c r="AA385" s="9"/>
    </row>
    <row r="386" spans="1:27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  <c r="AA386" s="9"/>
    </row>
    <row r="387" spans="1:27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  <c r="AA387" s="9"/>
    </row>
    <row r="388" spans="1:27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  <c r="AA388" s="9"/>
    </row>
    <row r="389" spans="1:27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  <c r="AA389" s="9"/>
    </row>
    <row r="390" spans="1:27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  <c r="AA390" s="9"/>
    </row>
    <row r="391" spans="1:27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  <c r="AA391" s="9"/>
    </row>
    <row r="392" spans="1:27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  <c r="AA392" s="9"/>
    </row>
    <row r="393" spans="1:27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  <c r="AA393" s="9"/>
    </row>
    <row r="394" spans="1:27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  <c r="AA394" s="9"/>
    </row>
    <row r="395" spans="1:27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  <c r="AA395" s="9"/>
    </row>
    <row r="396" spans="1:27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  <c r="AA396" s="9"/>
    </row>
    <row r="397" spans="1:27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  <c r="AA397" s="9"/>
    </row>
    <row r="398" spans="1:27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  <c r="AA398" s="9"/>
    </row>
    <row r="399" spans="1:27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  <c r="AA399" s="9"/>
    </row>
    <row r="400" spans="1:27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  <c r="AA400" s="9"/>
    </row>
    <row r="401" spans="1:27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  <c r="AA401" s="9"/>
    </row>
    <row r="402" spans="1:27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  <c r="AA402" s="9"/>
    </row>
    <row r="403" spans="1:27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  <c r="AA403" s="9"/>
    </row>
    <row r="404" spans="1:27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  <c r="AA404" s="9"/>
    </row>
    <row r="405" spans="1:27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  <c r="AA405" s="9"/>
    </row>
    <row r="406" spans="1:27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  <c r="AA406" s="9"/>
    </row>
    <row r="407" spans="1:27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  <c r="AA407" s="9"/>
    </row>
    <row r="408" spans="1:27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  <c r="AA408" s="9"/>
    </row>
    <row r="409" spans="1:27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  <c r="AA409" s="9"/>
    </row>
    <row r="410" spans="1:27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  <c r="AA410" s="9"/>
    </row>
    <row r="411" spans="1:27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  <c r="AA411" s="9"/>
    </row>
    <row r="412" spans="1:27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  <c r="AA412" s="9"/>
    </row>
    <row r="413" spans="1:27">
      <c r="A413" s="9"/>
      <c r="B413" s="9"/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  <c r="AA413" s="9"/>
    </row>
    <row r="414" spans="1:27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  <c r="AA414" s="9"/>
    </row>
    <row r="415" spans="1:27">
      <c r="A415" s="9"/>
      <c r="B415" s="9"/>
      <c r="C415" s="9"/>
      <c r="D415" s="9"/>
      <c r="E415" s="9"/>
      <c r="F415" s="9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  <c r="AA415" s="9"/>
    </row>
    <row r="416" spans="1:27">
      <c r="A416" s="9"/>
      <c r="B416" s="9"/>
      <c r="C416" s="9"/>
      <c r="D416" s="9"/>
      <c r="E416" s="9"/>
      <c r="F416" s="9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  <c r="AA416" s="9"/>
    </row>
    <row r="417" spans="1:27">
      <c r="A417" s="9"/>
      <c r="B417" s="9"/>
      <c r="C417" s="9"/>
      <c r="D417" s="9"/>
      <c r="E417" s="9"/>
      <c r="F417" s="9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  <c r="AA417" s="9"/>
    </row>
    <row r="418" spans="1:27">
      <c r="A418" s="9"/>
      <c r="B418" s="9"/>
      <c r="C418" s="9"/>
      <c r="D418" s="9"/>
      <c r="E418" s="9"/>
      <c r="F418" s="9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  <c r="AA418" s="9"/>
    </row>
    <row r="419" spans="1:27">
      <c r="A419" s="9"/>
      <c r="B419" s="9"/>
      <c r="C419" s="9"/>
      <c r="D419" s="9"/>
      <c r="E419" s="9"/>
      <c r="F419" s="9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  <c r="AA419" s="9"/>
    </row>
    <row r="420" spans="1:27">
      <c r="A420" s="9"/>
      <c r="B420" s="9"/>
      <c r="C420" s="9"/>
      <c r="D420" s="9"/>
      <c r="E420" s="9"/>
      <c r="F420" s="9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  <c r="AA420" s="9"/>
    </row>
    <row r="421" spans="1:27">
      <c r="A421" s="9"/>
      <c r="B421" s="9"/>
      <c r="C421" s="9"/>
      <c r="D421" s="9"/>
      <c r="E421" s="9"/>
      <c r="F421" s="9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  <c r="AA421" s="9"/>
    </row>
    <row r="422" spans="1:27">
      <c r="A422" s="9"/>
      <c r="B422" s="9"/>
      <c r="C422" s="9"/>
      <c r="D422" s="9"/>
      <c r="E422" s="9"/>
      <c r="F422" s="9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  <c r="AA422" s="9"/>
    </row>
    <row r="423" spans="1:27">
      <c r="A423" s="9"/>
      <c r="B423" s="9"/>
      <c r="C423" s="9"/>
      <c r="D423" s="9"/>
      <c r="E423" s="9"/>
      <c r="F423" s="9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  <c r="AA423" s="9"/>
    </row>
    <row r="424" spans="1:27">
      <c r="A424" s="9"/>
      <c r="B424" s="9"/>
      <c r="C424" s="9"/>
      <c r="D424" s="9"/>
      <c r="E424" s="9"/>
      <c r="F424" s="9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  <c r="AA424" s="9"/>
    </row>
    <row r="425" spans="1:27">
      <c r="A425" s="9"/>
      <c r="B425" s="9"/>
      <c r="C425" s="9"/>
      <c r="D425" s="9"/>
      <c r="E425" s="9"/>
      <c r="F425" s="9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  <c r="AA425" s="9"/>
    </row>
    <row r="426" spans="1:27">
      <c r="A426" s="9"/>
      <c r="B426" s="9"/>
      <c r="C426" s="9"/>
      <c r="D426" s="9"/>
      <c r="E426" s="9"/>
      <c r="F426" s="9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  <c r="AA426" s="9"/>
    </row>
    <row r="427" spans="1:27">
      <c r="A427" s="9"/>
      <c r="B427" s="9"/>
      <c r="C427" s="9"/>
      <c r="D427" s="9"/>
      <c r="E427" s="9"/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  <c r="AA427" s="9"/>
    </row>
    <row r="428" spans="1:27">
      <c r="A428" s="9"/>
      <c r="B428" s="9"/>
      <c r="C428" s="9"/>
      <c r="D428" s="9"/>
      <c r="E428" s="9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  <c r="AA428" s="9"/>
    </row>
    <row r="429" spans="1:27">
      <c r="A429" s="9"/>
      <c r="B429" s="9"/>
      <c r="C429" s="9"/>
      <c r="D429" s="9"/>
      <c r="E429" s="9"/>
      <c r="F429" s="9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  <c r="AA429" s="9"/>
    </row>
    <row r="430" spans="1:27">
      <c r="A430" s="9"/>
      <c r="B430" s="9"/>
      <c r="C430" s="9"/>
      <c r="D430" s="9"/>
      <c r="E430" s="9"/>
      <c r="F430" s="9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  <c r="AA430" s="9"/>
    </row>
    <row r="431" spans="1:27">
      <c r="A431" s="9"/>
      <c r="B431" s="9"/>
      <c r="C431" s="9"/>
      <c r="D431" s="9"/>
      <c r="E431" s="9"/>
      <c r="F431" s="9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  <c r="AA431" s="9"/>
    </row>
    <row r="432" spans="1:27">
      <c r="A432" s="9"/>
      <c r="B432" s="9"/>
      <c r="C432" s="9"/>
      <c r="D432" s="9"/>
      <c r="E432" s="9"/>
      <c r="F432" s="9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  <c r="AA432" s="9"/>
    </row>
    <row r="433" spans="1:27">
      <c r="A433" s="9"/>
      <c r="B433" s="9"/>
      <c r="C433" s="9"/>
      <c r="D433" s="9"/>
      <c r="E433" s="9"/>
      <c r="F433" s="9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  <c r="AA433" s="9"/>
    </row>
    <row r="434" spans="1:27">
      <c r="A434" s="9"/>
      <c r="B434" s="9"/>
      <c r="C434" s="9"/>
      <c r="D434" s="9"/>
      <c r="E434" s="9"/>
      <c r="F434" s="9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  <c r="AA434" s="9"/>
    </row>
    <row r="435" spans="1:27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  <c r="AA435" s="9"/>
    </row>
    <row r="436" spans="1:27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  <c r="AA436" s="9"/>
    </row>
    <row r="437" spans="1:27">
      <c r="A437" s="9"/>
      <c r="B437" s="9"/>
      <c r="C437" s="9"/>
      <c r="D437" s="9"/>
      <c r="E437" s="9"/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  <c r="AA437" s="9"/>
    </row>
    <row r="438" spans="1:27">
      <c r="A438" s="9"/>
      <c r="B438" s="9"/>
      <c r="C438" s="9"/>
      <c r="D438" s="9"/>
      <c r="E438" s="9"/>
      <c r="F438" s="9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  <c r="AA438" s="9"/>
    </row>
    <row r="439" spans="1:27">
      <c r="A439" s="9"/>
      <c r="B439" s="9"/>
      <c r="C439" s="9"/>
      <c r="D439" s="9"/>
      <c r="E439" s="9"/>
      <c r="F439" s="9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  <c r="AA439" s="9"/>
    </row>
    <row r="440" spans="1:27">
      <c r="A440" s="9"/>
      <c r="B440" s="9"/>
      <c r="C440" s="9"/>
      <c r="D440" s="9"/>
      <c r="E440" s="9"/>
      <c r="F440" s="9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  <c r="AA440" s="9"/>
    </row>
    <row r="441" spans="1:27">
      <c r="A441" s="9"/>
      <c r="B441" s="9"/>
      <c r="C441" s="9"/>
      <c r="D441" s="9"/>
      <c r="E441" s="9"/>
      <c r="F441" s="9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  <c r="AA441" s="9"/>
    </row>
    <row r="442" spans="1:27">
      <c r="A442" s="9"/>
      <c r="B442" s="9"/>
      <c r="C442" s="9"/>
      <c r="D442" s="9"/>
      <c r="E442" s="9"/>
      <c r="F442" s="9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  <c r="AA442" s="9"/>
    </row>
    <row r="443" spans="1:27">
      <c r="A443" s="9"/>
      <c r="B443" s="9"/>
      <c r="C443" s="9"/>
      <c r="D443" s="9"/>
      <c r="E443" s="9"/>
      <c r="F443" s="9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  <c r="AA443" s="9"/>
    </row>
    <row r="444" spans="1:27">
      <c r="A444" s="9"/>
      <c r="B444" s="9"/>
      <c r="C444" s="9"/>
      <c r="D444" s="9"/>
      <c r="E444" s="9"/>
      <c r="F444" s="9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  <c r="AA444" s="9"/>
    </row>
    <row r="445" spans="1:27">
      <c r="A445" s="9"/>
      <c r="B445" s="9"/>
      <c r="C445" s="9"/>
      <c r="D445" s="9"/>
      <c r="E445" s="9"/>
      <c r="F445" s="9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  <c r="AA445" s="9"/>
    </row>
    <row r="446" spans="1:27">
      <c r="A446" s="9"/>
      <c r="B446" s="9"/>
      <c r="C446" s="9"/>
      <c r="D446" s="9"/>
      <c r="E446" s="9"/>
      <c r="F446" s="9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  <c r="AA446" s="9"/>
    </row>
    <row r="447" spans="1:27">
      <c r="A447" s="9"/>
      <c r="B447" s="9"/>
      <c r="C447" s="9"/>
      <c r="D447" s="9"/>
      <c r="E447" s="9"/>
      <c r="F447" s="9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  <c r="AA447" s="9"/>
    </row>
    <row r="448" spans="1:27">
      <c r="A448" s="9"/>
      <c r="B448" s="9"/>
      <c r="C448" s="9"/>
      <c r="D448" s="9"/>
      <c r="E448" s="9"/>
      <c r="F448" s="9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  <c r="AA448" s="9"/>
    </row>
    <row r="449" spans="1:27">
      <c r="A449" s="9"/>
      <c r="B449" s="9"/>
      <c r="C449" s="9"/>
      <c r="D449" s="9"/>
      <c r="E449" s="9"/>
      <c r="F449" s="9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  <c r="AA449" s="9"/>
    </row>
    <row r="450" spans="1:27">
      <c r="A450" s="9"/>
      <c r="B450" s="9"/>
      <c r="C450" s="9"/>
      <c r="D450" s="9"/>
      <c r="E450" s="9"/>
      <c r="F450" s="9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  <c r="AA450" s="9"/>
    </row>
    <row r="451" spans="1:27">
      <c r="A451" s="9"/>
      <c r="B451" s="9"/>
      <c r="C451" s="9"/>
      <c r="D451" s="9"/>
      <c r="E451" s="9"/>
      <c r="F451" s="9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  <c r="AA451" s="9"/>
    </row>
    <row r="452" spans="1:27">
      <c r="A452" s="9"/>
      <c r="B452" s="9"/>
      <c r="C452" s="9"/>
      <c r="D452" s="9"/>
      <c r="E452" s="9"/>
      <c r="F452" s="9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  <c r="AA452" s="9"/>
    </row>
    <row r="453" spans="1:27">
      <c r="A453" s="9"/>
      <c r="B453" s="9"/>
      <c r="C453" s="9"/>
      <c r="D453" s="9"/>
      <c r="E453" s="9"/>
      <c r="F453" s="9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  <c r="AA453" s="9"/>
    </row>
    <row r="454" spans="1:27">
      <c r="A454" s="9"/>
      <c r="B454" s="9"/>
      <c r="C454" s="9"/>
      <c r="D454" s="9"/>
      <c r="E454" s="9"/>
      <c r="F454" s="9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  <c r="AA454" s="9"/>
    </row>
    <row r="455" spans="1:27">
      <c r="A455" s="9"/>
      <c r="B455" s="9"/>
      <c r="C455" s="9"/>
      <c r="D455" s="9"/>
      <c r="E455" s="9"/>
      <c r="F455" s="9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  <c r="AA455" s="9"/>
    </row>
    <row r="456" spans="1:27">
      <c r="A456" s="9"/>
      <c r="B456" s="9"/>
      <c r="C456" s="9"/>
      <c r="D456" s="9"/>
      <c r="E456" s="9"/>
      <c r="F456" s="9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  <c r="AA456" s="9"/>
    </row>
    <row r="457" spans="1:27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  <c r="AA457" s="9"/>
    </row>
    <row r="458" spans="1:27">
      <c r="A458" s="9"/>
      <c r="B458" s="9"/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  <c r="AA458" s="9"/>
    </row>
    <row r="459" spans="1:27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  <c r="AA459" s="9"/>
    </row>
    <row r="460" spans="1:27">
      <c r="A460" s="9"/>
      <c r="B460" s="9"/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  <c r="AA460" s="9"/>
    </row>
    <row r="461" spans="1:27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  <c r="AA461" s="9"/>
    </row>
    <row r="462" spans="1:27">
      <c r="A462" s="9"/>
      <c r="B462" s="9"/>
      <c r="C462" s="9"/>
      <c r="D462" s="9"/>
      <c r="E462" s="9"/>
      <c r="F462" s="9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  <c r="AA462" s="9"/>
    </row>
    <row r="463" spans="1:27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  <c r="AA463" s="9"/>
    </row>
    <row r="464" spans="1:27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  <c r="AA464" s="9"/>
    </row>
    <row r="465" spans="1:27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  <c r="AA465" s="9"/>
    </row>
    <row r="466" spans="1:27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  <c r="AA466" s="9"/>
    </row>
    <row r="467" spans="1:27">
      <c r="A467" s="9"/>
      <c r="B467" s="9"/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  <c r="AA467" s="9"/>
    </row>
    <row r="468" spans="1:27">
      <c r="A468" s="9"/>
      <c r="B468" s="9"/>
      <c r="C468" s="9"/>
      <c r="D468" s="9"/>
      <c r="E468" s="9"/>
      <c r="F468" s="9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  <c r="AA468" s="9"/>
    </row>
    <row r="469" spans="1:27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  <c r="AA469" s="9"/>
    </row>
    <row r="470" spans="1:27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  <c r="AA470" s="9"/>
    </row>
    <row r="471" spans="1:27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  <c r="AA471" s="9"/>
    </row>
    <row r="472" spans="1:27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  <c r="AA472" s="9"/>
    </row>
    <row r="473" spans="1:27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  <c r="AA473" s="9"/>
    </row>
    <row r="474" spans="1:27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  <c r="AA474" s="9"/>
    </row>
    <row r="475" spans="1:27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  <c r="AA475" s="9"/>
    </row>
    <row r="476" spans="1:27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  <c r="AA476" s="9"/>
    </row>
    <row r="477" spans="1:27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  <c r="AA477" s="9"/>
    </row>
    <row r="478" spans="1:27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  <c r="AA478" s="9"/>
    </row>
    <row r="479" spans="1:27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  <c r="AA479" s="9"/>
    </row>
    <row r="480" spans="1:27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  <c r="AA480" s="9"/>
    </row>
    <row r="481" spans="1:27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  <c r="AA481" s="9"/>
    </row>
    <row r="482" spans="1:27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  <c r="AA482" s="9"/>
    </row>
    <row r="483" spans="1:27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  <c r="AA483" s="9"/>
    </row>
    <row r="484" spans="1:27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  <c r="AA484" s="9"/>
    </row>
    <row r="485" spans="1:27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  <c r="AA485" s="9"/>
    </row>
    <row r="486" spans="1:27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  <c r="AA486" s="9"/>
    </row>
    <row r="487" spans="1:27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  <c r="AA487" s="9"/>
    </row>
    <row r="488" spans="1:27">
      <c r="A488" s="9"/>
      <c r="B488" s="9"/>
      <c r="C488" s="9"/>
      <c r="D488" s="9"/>
      <c r="E488" s="9"/>
      <c r="F488" s="9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  <c r="AA488" s="9"/>
    </row>
    <row r="489" spans="1:27">
      <c r="A489" s="9"/>
      <c r="B489" s="9"/>
      <c r="C489" s="9"/>
      <c r="D489" s="9"/>
      <c r="E489" s="9"/>
      <c r="F489" s="9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  <c r="AA489" s="9"/>
    </row>
    <row r="490" spans="1:27">
      <c r="A490" s="9"/>
      <c r="B490" s="9"/>
      <c r="C490" s="9"/>
      <c r="D490" s="9"/>
      <c r="E490" s="9"/>
      <c r="F490" s="9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  <c r="AA490" s="9"/>
    </row>
    <row r="491" spans="1:27">
      <c r="A491" s="9"/>
      <c r="B491" s="9"/>
      <c r="C491" s="9"/>
      <c r="D491" s="9"/>
      <c r="E491" s="9"/>
      <c r="F491" s="9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  <c r="AA491" s="9"/>
    </row>
    <row r="492" spans="1:27">
      <c r="A492" s="9"/>
      <c r="B492" s="9"/>
      <c r="C492" s="9"/>
      <c r="D492" s="9"/>
      <c r="E492" s="9"/>
      <c r="F492" s="9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  <c r="AA492" s="9"/>
    </row>
    <row r="493" spans="1:27">
      <c r="A493" s="9"/>
      <c r="B493" s="9"/>
      <c r="C493" s="9"/>
      <c r="D493" s="9"/>
      <c r="E493" s="9"/>
      <c r="F493" s="9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  <c r="AA493" s="9"/>
    </row>
    <row r="494" spans="1:27">
      <c r="A494" s="9"/>
      <c r="B494" s="9"/>
      <c r="C494" s="9"/>
      <c r="D494" s="9"/>
      <c r="E494" s="9"/>
      <c r="F494" s="9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  <c r="AA494" s="9"/>
    </row>
    <row r="495" spans="1:27">
      <c r="A495" s="9"/>
      <c r="B495" s="9"/>
      <c r="C495" s="9"/>
      <c r="D495" s="9"/>
      <c r="E495" s="9"/>
      <c r="F495" s="9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  <c r="AA495" s="9"/>
    </row>
    <row r="496" spans="1:27">
      <c r="A496" s="9"/>
      <c r="B496" s="9"/>
      <c r="C496" s="9"/>
      <c r="D496" s="9"/>
      <c r="E496" s="9"/>
      <c r="F496" s="9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  <c r="AA496" s="9"/>
    </row>
    <row r="497" spans="1:27">
      <c r="A497" s="9"/>
      <c r="B497" s="9"/>
      <c r="C497" s="9"/>
      <c r="D497" s="9"/>
      <c r="E497" s="9"/>
      <c r="F497" s="9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  <c r="AA497" s="9"/>
    </row>
    <row r="498" spans="1:27">
      <c r="A498" s="9"/>
      <c r="B498" s="9"/>
      <c r="C498" s="9"/>
      <c r="D498" s="9"/>
      <c r="E498" s="9"/>
      <c r="F498" s="9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  <c r="AA498" s="9"/>
    </row>
    <row r="499" spans="1:27">
      <c r="A499" s="9"/>
      <c r="B499" s="9"/>
      <c r="C499" s="9"/>
      <c r="D499" s="9"/>
      <c r="E499" s="9"/>
      <c r="F499" s="9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  <c r="AA499" s="9"/>
    </row>
    <row r="500" spans="1:27">
      <c r="A500" s="9"/>
      <c r="B500" s="9"/>
      <c r="C500" s="9"/>
      <c r="D500" s="9"/>
      <c r="E500" s="9"/>
      <c r="F500" s="9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  <c r="AA500" s="9"/>
    </row>
    <row r="501" spans="1:27">
      <c r="A501" s="9"/>
      <c r="B501" s="9"/>
      <c r="C501" s="9"/>
      <c r="D501" s="9"/>
      <c r="E501" s="9"/>
      <c r="F501" s="9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  <c r="AA501" s="9"/>
    </row>
    <row r="502" spans="1:27">
      <c r="A502" s="9"/>
      <c r="B502" s="9"/>
      <c r="C502" s="9"/>
      <c r="D502" s="9"/>
      <c r="E502" s="9"/>
      <c r="F502" s="9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  <c r="AA502" s="9"/>
    </row>
    <row r="503" spans="1:27">
      <c r="A503" s="9"/>
      <c r="B503" s="9"/>
      <c r="C503" s="9"/>
      <c r="D503" s="9"/>
      <c r="E503" s="9"/>
      <c r="F503" s="9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  <c r="AA503" s="9"/>
    </row>
    <row r="504" spans="1:27">
      <c r="A504" s="9"/>
      <c r="B504" s="9"/>
      <c r="C504" s="9"/>
      <c r="D504" s="9"/>
      <c r="E504" s="9"/>
      <c r="F504" s="9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  <c r="AA504" s="9"/>
    </row>
    <row r="505" spans="1:27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  <c r="AA505" s="9"/>
    </row>
    <row r="506" spans="1:27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  <c r="AA506" s="9"/>
    </row>
    <row r="507" spans="1:27">
      <c r="A507" s="9"/>
      <c r="B507" s="9"/>
      <c r="C507" s="9"/>
      <c r="D507" s="9"/>
      <c r="E507" s="9"/>
      <c r="F507" s="9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  <c r="AA507" s="9"/>
    </row>
    <row r="508" spans="1:27">
      <c r="A508" s="9"/>
      <c r="B508" s="9"/>
      <c r="C508" s="9"/>
      <c r="D508" s="9"/>
      <c r="E508" s="9"/>
      <c r="F508" s="9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  <c r="AA508" s="9"/>
    </row>
    <row r="509" spans="1:27">
      <c r="A509" s="9"/>
      <c r="B509" s="9"/>
      <c r="C509" s="9"/>
      <c r="D509" s="9"/>
      <c r="E509" s="9"/>
      <c r="F509" s="9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  <c r="AA509" s="9"/>
    </row>
    <row r="510" spans="1:27">
      <c r="A510" s="9"/>
      <c r="B510" s="9"/>
      <c r="C510" s="9"/>
      <c r="D510" s="9"/>
      <c r="E510" s="9"/>
      <c r="F510" s="9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  <c r="AA510" s="9"/>
    </row>
    <row r="511" spans="1:27">
      <c r="A511" s="9"/>
      <c r="B511" s="9"/>
      <c r="C511" s="9"/>
      <c r="D511" s="9"/>
      <c r="E511" s="9"/>
      <c r="F511" s="9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  <c r="AA511" s="9"/>
    </row>
    <row r="512" spans="1:27">
      <c r="A512" s="9"/>
      <c r="B512" s="9"/>
      <c r="C512" s="9"/>
      <c r="D512" s="9"/>
      <c r="E512" s="9"/>
      <c r="F512" s="9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  <c r="AA512" s="9"/>
    </row>
    <row r="513" spans="1:27">
      <c r="A513" s="9"/>
      <c r="B513" s="9"/>
      <c r="C513" s="9"/>
      <c r="D513" s="9"/>
      <c r="E513" s="9"/>
      <c r="F513" s="9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  <c r="AA513" s="9"/>
    </row>
    <row r="514" spans="1:27">
      <c r="A514" s="9"/>
      <c r="B514" s="9"/>
      <c r="C514" s="9"/>
      <c r="D514" s="9"/>
      <c r="E514" s="9"/>
      <c r="F514" s="9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  <c r="AA514" s="9"/>
    </row>
    <row r="515" spans="1:27">
      <c r="A515" s="9"/>
      <c r="B515" s="9"/>
      <c r="C515" s="9"/>
      <c r="D515" s="9"/>
      <c r="E515" s="9"/>
      <c r="F515" s="9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  <c r="AA515" s="9"/>
    </row>
    <row r="516" spans="1:27">
      <c r="A516" s="9"/>
      <c r="B516" s="9"/>
      <c r="C516" s="9"/>
      <c r="D516" s="9"/>
      <c r="E516" s="9"/>
      <c r="F516" s="9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  <c r="AA516" s="9"/>
    </row>
    <row r="517" spans="1:27">
      <c r="A517" s="9"/>
      <c r="B517" s="9"/>
      <c r="C517" s="9"/>
      <c r="D517" s="9"/>
      <c r="E517" s="9"/>
      <c r="F517" s="9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  <c r="AA517" s="9"/>
    </row>
    <row r="518" spans="1:27">
      <c r="A518" s="9"/>
      <c r="B518" s="9"/>
      <c r="C518" s="9"/>
      <c r="D518" s="9"/>
      <c r="E518" s="9"/>
      <c r="F518" s="9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  <c r="AA518" s="9"/>
    </row>
    <row r="519" spans="1:27">
      <c r="A519" s="9"/>
      <c r="B519" s="9"/>
      <c r="C519" s="9"/>
      <c r="D519" s="9"/>
      <c r="E519" s="9"/>
      <c r="F519" s="9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  <c r="AA519" s="9"/>
    </row>
    <row r="520" spans="1:27">
      <c r="A520" s="9"/>
      <c r="B520" s="9"/>
      <c r="C520" s="9"/>
      <c r="D520" s="9"/>
      <c r="E520" s="9"/>
      <c r="F520" s="9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  <c r="AA520" s="9"/>
    </row>
    <row r="521" spans="1:27">
      <c r="A521" s="9"/>
      <c r="B521" s="9"/>
      <c r="C521" s="9"/>
      <c r="D521" s="9"/>
      <c r="E521" s="9"/>
      <c r="F521" s="9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  <c r="AA521" s="9"/>
    </row>
    <row r="522" spans="1:27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  <c r="AA522" s="9"/>
    </row>
    <row r="523" spans="1:27">
      <c r="A523" s="9"/>
      <c r="B523" s="9"/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  <c r="AA523" s="9"/>
    </row>
    <row r="524" spans="1:27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  <c r="AA524" s="9"/>
    </row>
    <row r="525" spans="1:27">
      <c r="A525" s="9"/>
      <c r="B525" s="9"/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  <c r="AA525" s="9"/>
    </row>
    <row r="526" spans="1:27">
      <c r="A526" s="9"/>
      <c r="B526" s="9"/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  <c r="AA526" s="9"/>
    </row>
    <row r="527" spans="1:27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  <c r="AA527" s="9"/>
    </row>
    <row r="528" spans="1:27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  <c r="AA528" s="9"/>
    </row>
    <row r="529" spans="1:27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  <c r="AA529" s="9"/>
    </row>
    <row r="530" spans="1:27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  <c r="AA530" s="9"/>
    </row>
    <row r="531" spans="1:27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  <c r="AA531" s="9"/>
    </row>
    <row r="532" spans="1:27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  <c r="AA532" s="9"/>
    </row>
    <row r="533" spans="1:27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  <c r="AA533" s="9"/>
    </row>
    <row r="534" spans="1:27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  <c r="AA534" s="9"/>
    </row>
    <row r="535" spans="1:27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  <c r="AA535" s="9"/>
    </row>
    <row r="536" spans="1:27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  <c r="AA536" s="9"/>
    </row>
    <row r="537" spans="1:27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  <c r="AA537" s="9"/>
    </row>
    <row r="538" spans="1:27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  <c r="AA538" s="9"/>
    </row>
    <row r="539" spans="1:27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  <c r="AA539" s="9"/>
    </row>
    <row r="540" spans="1:27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  <c r="AA540" s="9"/>
    </row>
    <row r="541" spans="1:27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  <c r="AA541" s="9"/>
    </row>
    <row r="542" spans="1:27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  <c r="AA542" s="9"/>
    </row>
    <row r="543" spans="1:27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  <c r="AA543" s="9"/>
    </row>
    <row r="544" spans="1:27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  <c r="AA544" s="9"/>
    </row>
    <row r="545" spans="1:27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  <c r="AA545" s="9"/>
    </row>
    <row r="546" spans="1:27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  <c r="AA546" s="9"/>
    </row>
    <row r="547" spans="1:27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  <c r="AA547" s="9"/>
    </row>
    <row r="548" spans="1:27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  <c r="AA548" s="9"/>
    </row>
    <row r="549" spans="1:27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  <c r="AA549" s="9"/>
    </row>
    <row r="550" spans="1:27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  <c r="AA550" s="9"/>
    </row>
    <row r="551" spans="1:27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  <c r="AA551" s="9"/>
    </row>
    <row r="552" spans="1:27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  <c r="AA552" s="9"/>
    </row>
    <row r="553" spans="1:27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  <c r="AA553" s="9"/>
    </row>
    <row r="554" spans="1:27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  <c r="AA554" s="9"/>
    </row>
    <row r="555" spans="1:27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  <c r="AA555" s="9"/>
    </row>
    <row r="556" spans="1:27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  <c r="AA556" s="9"/>
    </row>
    <row r="557" spans="1:27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  <c r="AA557" s="9"/>
    </row>
    <row r="558" spans="1:27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  <c r="AA558" s="9"/>
    </row>
    <row r="559" spans="1:27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  <c r="AA559" s="9"/>
    </row>
    <row r="560" spans="1:27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  <c r="AA560" s="9"/>
    </row>
    <row r="561" spans="1:27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  <c r="AA561" s="9"/>
    </row>
    <row r="562" spans="1:27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  <c r="AA562" s="9"/>
    </row>
    <row r="563" spans="1:27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  <c r="AA563" s="9"/>
    </row>
    <row r="564" spans="1:27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  <c r="AA564" s="9"/>
    </row>
    <row r="565" spans="1:27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  <c r="AA565" s="9"/>
    </row>
    <row r="566" spans="1:27">
      <c r="A566" s="9"/>
      <c r="B566" s="9"/>
      <c r="C566" s="9"/>
      <c r="D566" s="9"/>
      <c r="E566" s="9"/>
      <c r="F566" s="9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  <c r="AA566" s="9"/>
    </row>
    <row r="567" spans="1:27">
      <c r="A567" s="9"/>
      <c r="B567" s="9"/>
      <c r="C567" s="9"/>
      <c r="D567" s="9"/>
      <c r="E567" s="9"/>
      <c r="F567" s="9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  <c r="AA567" s="9"/>
    </row>
    <row r="568" spans="1:27">
      <c r="A568" s="9"/>
      <c r="B568" s="9"/>
      <c r="C568" s="9"/>
      <c r="D568" s="9"/>
      <c r="E568" s="9"/>
      <c r="F568" s="9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  <c r="AA568" s="9"/>
    </row>
    <row r="569" spans="1:27">
      <c r="A569" s="9"/>
      <c r="B569" s="9"/>
      <c r="C569" s="9"/>
      <c r="D569" s="9"/>
      <c r="E569" s="9"/>
      <c r="F569" s="9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  <c r="AA569" s="9"/>
    </row>
    <row r="570" spans="1:27">
      <c r="A570" s="9"/>
      <c r="B570" s="9"/>
      <c r="C570" s="9"/>
      <c r="D570" s="9"/>
      <c r="E570" s="9"/>
      <c r="F570" s="9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  <c r="AA570" s="9"/>
    </row>
    <row r="571" spans="1:27">
      <c r="A571" s="9"/>
      <c r="B571" s="9"/>
      <c r="C571" s="9"/>
      <c r="D571" s="9"/>
      <c r="E571" s="9"/>
      <c r="F571" s="9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  <c r="AA571" s="9"/>
    </row>
    <row r="572" spans="1:27">
      <c r="A572" s="9"/>
      <c r="B572" s="9"/>
      <c r="C572" s="9"/>
      <c r="D572" s="9"/>
      <c r="E572" s="9"/>
      <c r="F572" s="9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  <c r="AA572" s="9"/>
    </row>
    <row r="573" spans="1:27">
      <c r="A573" s="9"/>
      <c r="B573" s="9"/>
      <c r="C573" s="9"/>
      <c r="D573" s="9"/>
      <c r="E573" s="9"/>
      <c r="F573" s="9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  <c r="AA573" s="9"/>
    </row>
    <row r="574" spans="1:27">
      <c r="A574" s="9"/>
      <c r="B574" s="9"/>
      <c r="C574" s="9"/>
      <c r="D574" s="9"/>
      <c r="E574" s="9"/>
      <c r="F574" s="9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  <c r="AA574" s="9"/>
    </row>
    <row r="575" spans="1:27">
      <c r="A575" s="9"/>
      <c r="B575" s="9"/>
      <c r="C575" s="9"/>
      <c r="D575" s="9"/>
      <c r="E575" s="9"/>
      <c r="F575" s="9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  <c r="AA575" s="9"/>
    </row>
    <row r="576" spans="1:27">
      <c r="A576" s="9"/>
      <c r="B576" s="9"/>
      <c r="C576" s="9"/>
      <c r="D576" s="9"/>
      <c r="E576" s="9"/>
      <c r="F576" s="9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  <c r="AA576" s="9"/>
    </row>
    <row r="577" spans="1:27">
      <c r="A577" s="9"/>
      <c r="B577" s="9"/>
      <c r="C577" s="9"/>
      <c r="D577" s="9"/>
      <c r="E577" s="9"/>
      <c r="F577" s="9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  <c r="AA577" s="9"/>
    </row>
    <row r="578" spans="1:27">
      <c r="A578" s="9"/>
      <c r="B578" s="9"/>
      <c r="C578" s="9"/>
      <c r="D578" s="9"/>
      <c r="E578" s="9"/>
      <c r="F578" s="9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  <c r="AA578" s="9"/>
    </row>
    <row r="579" spans="1:27">
      <c r="A579" s="9"/>
      <c r="B579" s="9"/>
      <c r="C579" s="9"/>
      <c r="D579" s="9"/>
      <c r="E579" s="9"/>
      <c r="F579" s="9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  <c r="AA579" s="9"/>
    </row>
    <row r="580" spans="1:27">
      <c r="A580" s="9"/>
      <c r="B580" s="9"/>
      <c r="C580" s="9"/>
      <c r="D580" s="9"/>
      <c r="E580" s="9"/>
      <c r="F580" s="9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  <c r="AA580" s="9"/>
    </row>
    <row r="581" spans="1:27">
      <c r="A581" s="9"/>
      <c r="B581" s="9"/>
      <c r="C581" s="9"/>
      <c r="D581" s="9"/>
      <c r="E581" s="9"/>
      <c r="F581" s="9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  <c r="AA581" s="9"/>
    </row>
    <row r="582" spans="1:27">
      <c r="A582" s="9"/>
      <c r="B582" s="9"/>
      <c r="C582" s="9"/>
      <c r="D582" s="9"/>
      <c r="E582" s="9"/>
      <c r="F582" s="9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  <c r="AA582" s="9"/>
    </row>
    <row r="583" spans="1:27">
      <c r="A583" s="9"/>
      <c r="B583" s="9"/>
      <c r="C583" s="9"/>
      <c r="D583" s="9"/>
      <c r="E583" s="9"/>
      <c r="F583" s="9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  <c r="AA583" s="9"/>
    </row>
    <row r="584" spans="1:27">
      <c r="A584" s="9"/>
      <c r="B584" s="9"/>
      <c r="C584" s="9"/>
      <c r="D584" s="9"/>
      <c r="E584" s="9"/>
      <c r="F584" s="9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  <c r="AA584" s="9"/>
    </row>
    <row r="585" spans="1:27">
      <c r="A585" s="9"/>
      <c r="B585" s="9"/>
      <c r="C585" s="9"/>
      <c r="D585" s="9"/>
      <c r="E585" s="9"/>
      <c r="F585" s="9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  <c r="AA585" s="9"/>
    </row>
    <row r="586" spans="1:27">
      <c r="A586" s="9"/>
      <c r="B586" s="9"/>
      <c r="C586" s="9"/>
      <c r="D586" s="9"/>
      <c r="E586" s="9"/>
      <c r="F586" s="9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  <c r="AA586" s="9"/>
    </row>
    <row r="587" spans="1:27">
      <c r="A587" s="9"/>
      <c r="B587" s="9"/>
      <c r="C587" s="9"/>
      <c r="D587" s="9"/>
      <c r="E587" s="9"/>
      <c r="F587" s="9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  <c r="AA587" s="9"/>
    </row>
    <row r="588" spans="1:27">
      <c r="A588" s="9"/>
      <c r="B588" s="9"/>
      <c r="C588" s="9"/>
      <c r="D588" s="9"/>
      <c r="E588" s="9"/>
      <c r="F588" s="9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  <c r="AA588" s="9"/>
    </row>
    <row r="589" spans="1:27">
      <c r="A589" s="9"/>
      <c r="B589" s="9"/>
      <c r="C589" s="9"/>
      <c r="D589" s="9"/>
      <c r="E589" s="9"/>
      <c r="F589" s="9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  <c r="AA589" s="9"/>
    </row>
    <row r="590" spans="1:27">
      <c r="A590" s="9"/>
      <c r="B590" s="9"/>
      <c r="C590" s="9"/>
      <c r="D590" s="9"/>
      <c r="E590" s="9"/>
      <c r="F590" s="9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  <c r="AA590" s="9"/>
    </row>
    <row r="591" spans="1:27">
      <c r="A591" s="9"/>
      <c r="B591" s="9"/>
      <c r="C591" s="9"/>
      <c r="D591" s="9"/>
      <c r="E591" s="9"/>
      <c r="F591" s="9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  <c r="AA591" s="9"/>
    </row>
    <row r="592" spans="1:27">
      <c r="A592" s="9"/>
      <c r="B592" s="9"/>
      <c r="C592" s="9"/>
      <c r="D592" s="9"/>
      <c r="E592" s="9"/>
      <c r="F592" s="9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  <c r="AA592" s="9"/>
    </row>
    <row r="593" spans="1:27">
      <c r="A593" s="9"/>
      <c r="B593" s="9"/>
      <c r="C593" s="9"/>
      <c r="D593" s="9"/>
      <c r="E593" s="9"/>
      <c r="F593" s="9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  <c r="AA593" s="9"/>
    </row>
    <row r="594" spans="1:27">
      <c r="A594" s="9"/>
      <c r="B594" s="9"/>
      <c r="C594" s="9"/>
      <c r="D594" s="9"/>
      <c r="E594" s="9"/>
      <c r="F594" s="9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  <c r="AA594" s="9"/>
    </row>
    <row r="595" spans="1:27">
      <c r="A595" s="9"/>
      <c r="B595" s="9"/>
      <c r="C595" s="9"/>
      <c r="D595" s="9"/>
      <c r="E595" s="9"/>
      <c r="F595" s="9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  <c r="AA595" s="9"/>
    </row>
    <row r="596" spans="1:27">
      <c r="A596" s="9"/>
      <c r="B596" s="9"/>
      <c r="C596" s="9"/>
      <c r="D596" s="9"/>
      <c r="E596" s="9"/>
      <c r="F596" s="9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  <c r="AA596" s="9"/>
    </row>
    <row r="597" spans="1:27">
      <c r="A597" s="9"/>
      <c r="B597" s="9"/>
      <c r="C597" s="9"/>
      <c r="D597" s="9"/>
      <c r="E597" s="9"/>
      <c r="F597" s="9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  <c r="AA597" s="9"/>
    </row>
    <row r="598" spans="1:27">
      <c r="A598" s="9"/>
      <c r="B598" s="9"/>
      <c r="C598" s="9"/>
      <c r="D598" s="9"/>
      <c r="E598" s="9"/>
      <c r="F598" s="9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  <c r="AA598" s="9"/>
    </row>
    <row r="599" spans="1:27">
      <c r="A599" s="9"/>
      <c r="B599" s="9"/>
      <c r="C599" s="9"/>
      <c r="D599" s="9"/>
      <c r="E599" s="9"/>
      <c r="F599" s="9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  <c r="AA599" s="9"/>
    </row>
    <row r="600" spans="1:27">
      <c r="A600" s="9"/>
      <c r="B600" s="9"/>
      <c r="C600" s="9"/>
      <c r="D600" s="9"/>
      <c r="E600" s="9"/>
      <c r="F600" s="9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  <c r="AA600" s="9"/>
    </row>
    <row r="601" spans="1:27">
      <c r="A601" s="9"/>
      <c r="B601" s="9"/>
      <c r="C601" s="9"/>
      <c r="D601" s="9"/>
      <c r="E601" s="9"/>
      <c r="F601" s="9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  <c r="AA601" s="9"/>
    </row>
    <row r="602" spans="1:27">
      <c r="A602" s="9"/>
      <c r="B602" s="9"/>
      <c r="C602" s="9"/>
      <c r="D602" s="9"/>
      <c r="E602" s="9"/>
      <c r="F602" s="9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  <c r="AA602" s="9"/>
    </row>
    <row r="603" spans="1:27">
      <c r="A603" s="9"/>
      <c r="B603" s="9"/>
      <c r="C603" s="9"/>
      <c r="D603" s="9"/>
      <c r="E603" s="9"/>
      <c r="F603" s="9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  <c r="AA603" s="9"/>
    </row>
    <row r="604" spans="1:27">
      <c r="A604" s="9"/>
      <c r="B604" s="9"/>
      <c r="C604" s="9"/>
      <c r="D604" s="9"/>
      <c r="E604" s="9"/>
      <c r="F604" s="9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  <c r="AA604" s="9"/>
    </row>
    <row r="605" spans="1:27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  <c r="AA605" s="9"/>
    </row>
    <row r="606" spans="1:27">
      <c r="A606" s="9"/>
      <c r="B606" s="9"/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  <c r="AA606" s="9"/>
    </row>
    <row r="607" spans="1:27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  <c r="AA607" s="9"/>
    </row>
    <row r="608" spans="1:27">
      <c r="A608" s="9"/>
      <c r="B608" s="9"/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  <c r="AA608" s="9"/>
    </row>
    <row r="609" spans="1:27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  <c r="AA609" s="9"/>
    </row>
    <row r="610" spans="1:27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  <c r="AA610" s="9"/>
    </row>
    <row r="611" spans="1:27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  <c r="AA611" s="9"/>
    </row>
    <row r="612" spans="1:27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  <c r="AA612" s="9"/>
    </row>
    <row r="613" spans="1:27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  <c r="AA613" s="9"/>
    </row>
    <row r="614" spans="1:27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  <c r="AA614" s="9"/>
    </row>
    <row r="615" spans="1:27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  <c r="AA615" s="9"/>
    </row>
    <row r="616" spans="1:27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  <c r="AA616" s="9"/>
    </row>
    <row r="617" spans="1:27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  <c r="AA617" s="9"/>
    </row>
    <row r="618" spans="1:27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  <c r="AA618" s="9"/>
    </row>
    <row r="619" spans="1:27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  <c r="AA619" s="9"/>
    </row>
    <row r="620" spans="1:27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  <c r="AA620" s="9"/>
    </row>
    <row r="621" spans="1:27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  <c r="AA621" s="9"/>
    </row>
    <row r="622" spans="1:27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  <c r="AA622" s="9"/>
    </row>
    <row r="623" spans="1:27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  <c r="AA623" s="9"/>
    </row>
    <row r="624" spans="1:27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  <c r="AA624" s="9"/>
    </row>
    <row r="625" spans="1:27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  <c r="AA625" s="9"/>
    </row>
    <row r="626" spans="1:27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  <c r="AA626" s="9"/>
    </row>
    <row r="627" spans="1:27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  <c r="AA627" s="9"/>
    </row>
    <row r="628" spans="1:27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  <c r="AA628" s="9"/>
    </row>
    <row r="629" spans="1:27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  <c r="AA629" s="9"/>
    </row>
    <row r="630" spans="1:27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  <c r="AA630" s="9"/>
    </row>
    <row r="631" spans="1:27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  <c r="AA631" s="9"/>
    </row>
    <row r="632" spans="1:27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  <c r="AA632" s="9"/>
    </row>
    <row r="633" spans="1:27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  <c r="AA633" s="9"/>
    </row>
    <row r="634" spans="1:27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  <c r="AA634" s="9"/>
    </row>
    <row r="635" spans="1:27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  <c r="AA635" s="9"/>
    </row>
    <row r="636" spans="1:27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  <c r="AA636" s="9"/>
    </row>
    <row r="637" spans="1:27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  <c r="AA637" s="9"/>
    </row>
    <row r="638" spans="1:27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  <c r="AA638" s="9"/>
    </row>
    <row r="639" spans="1:27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  <c r="AA639" s="9"/>
    </row>
    <row r="640" spans="1:27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  <c r="AA640" s="9"/>
    </row>
    <row r="641" spans="1:27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  <c r="AA641" s="9"/>
    </row>
    <row r="642" spans="1:27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  <c r="AA642" s="9"/>
    </row>
    <row r="643" spans="1:27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  <c r="AA643" s="9"/>
    </row>
    <row r="644" spans="1:27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  <c r="AA644" s="9"/>
    </row>
    <row r="645" spans="1:27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  <c r="AA645" s="9"/>
    </row>
    <row r="646" spans="1:27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  <c r="AA646" s="9"/>
    </row>
    <row r="647" spans="1:27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  <c r="AA647" s="9"/>
    </row>
    <row r="648" spans="1:27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  <c r="AA648" s="9"/>
    </row>
    <row r="649" spans="1:27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  <c r="AA649" s="9"/>
    </row>
    <row r="650" spans="1:27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  <c r="AA650" s="9"/>
    </row>
    <row r="651" spans="1:27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  <c r="AA651" s="9"/>
    </row>
    <row r="652" spans="1:27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  <c r="AA652" s="9"/>
    </row>
    <row r="653" spans="1:27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  <c r="AA653" s="9"/>
    </row>
    <row r="654" spans="1:27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  <c r="AA654" s="9"/>
    </row>
    <row r="655" spans="1:27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  <c r="AA655" s="9"/>
    </row>
    <row r="656" spans="1:27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  <c r="AA656" s="9"/>
    </row>
    <row r="657" spans="1:27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  <c r="AA657" s="9"/>
    </row>
    <row r="658" spans="1:27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  <c r="AA658" s="9"/>
    </row>
    <row r="659" spans="1:27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  <c r="AA659" s="9"/>
    </row>
    <row r="660" spans="1:27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  <c r="AA660" s="9"/>
    </row>
    <row r="661" spans="1:27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  <c r="AA661" s="9"/>
    </row>
    <row r="662" spans="1:27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  <c r="AA662" s="9"/>
    </row>
    <row r="663" spans="1:27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  <c r="AA663" s="9"/>
    </row>
    <row r="664" spans="1:27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  <c r="AA664" s="9"/>
    </row>
    <row r="665" spans="1:27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  <c r="AA665" s="9"/>
    </row>
    <row r="666" spans="1:27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  <c r="AA666" s="9"/>
    </row>
    <row r="667" spans="1:27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  <c r="AA667" s="9"/>
    </row>
    <row r="668" spans="1:27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  <c r="AA668" s="9"/>
    </row>
    <row r="669" spans="1:27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  <c r="AA669" s="9"/>
    </row>
    <row r="670" spans="1:27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  <c r="AA670" s="9"/>
    </row>
    <row r="671" spans="1:27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  <c r="AA671" s="9"/>
    </row>
    <row r="672" spans="1:27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  <c r="AA672" s="9"/>
    </row>
    <row r="673" spans="1:27">
      <c r="A673" s="9"/>
      <c r="B673" s="9"/>
      <c r="C673" s="9"/>
      <c r="D673" s="9"/>
      <c r="E673" s="9"/>
      <c r="F673" s="9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  <c r="AA673" s="9"/>
    </row>
    <row r="674" spans="1:27">
      <c r="A674" s="9"/>
      <c r="B674" s="9"/>
      <c r="C674" s="9"/>
      <c r="D674" s="9"/>
      <c r="E674" s="9"/>
      <c r="F674" s="9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  <c r="AA674" s="9"/>
    </row>
    <row r="675" spans="1:27">
      <c r="A675" s="9"/>
      <c r="B675" s="9"/>
      <c r="C675" s="9"/>
      <c r="D675" s="9"/>
      <c r="E675" s="9"/>
      <c r="F675" s="9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  <c r="AA675" s="9"/>
    </row>
    <row r="676" spans="1:27">
      <c r="A676" s="9"/>
      <c r="B676" s="9"/>
      <c r="C676" s="9"/>
      <c r="D676" s="9"/>
      <c r="E676" s="9"/>
      <c r="F676" s="9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  <c r="AA676" s="9"/>
    </row>
    <row r="677" spans="1:27">
      <c r="A677" s="9"/>
      <c r="B677" s="9"/>
      <c r="C677" s="9"/>
      <c r="D677" s="9"/>
      <c r="E677" s="9"/>
      <c r="F677" s="9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  <c r="AA677" s="9"/>
    </row>
    <row r="678" spans="1:27">
      <c r="A678" s="9"/>
      <c r="B678" s="9"/>
      <c r="C678" s="9"/>
      <c r="D678" s="9"/>
      <c r="E678" s="9"/>
      <c r="F678" s="9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  <c r="AA678" s="9"/>
    </row>
    <row r="679" spans="1:27">
      <c r="A679" s="9"/>
      <c r="B679" s="9"/>
      <c r="C679" s="9"/>
      <c r="D679" s="9"/>
      <c r="E679" s="9"/>
      <c r="F679" s="9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  <c r="AA679" s="9"/>
    </row>
    <row r="680" spans="1:27">
      <c r="A680" s="9"/>
      <c r="B680" s="9"/>
      <c r="C680" s="9"/>
      <c r="D680" s="9"/>
      <c r="E680" s="9"/>
      <c r="F680" s="9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  <c r="AA680" s="9"/>
    </row>
    <row r="681" spans="1:27">
      <c r="A681" s="9"/>
      <c r="B681" s="9"/>
      <c r="C681" s="9"/>
      <c r="D681" s="9"/>
      <c r="E681" s="9"/>
      <c r="F681" s="9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  <c r="AA681" s="9"/>
    </row>
    <row r="682" spans="1:27">
      <c r="A682" s="9"/>
      <c r="B682" s="9"/>
      <c r="C682" s="9"/>
      <c r="D682" s="9"/>
      <c r="E682" s="9"/>
      <c r="F682" s="9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  <c r="AA682" s="9"/>
    </row>
    <row r="683" spans="1:27">
      <c r="A683" s="9"/>
      <c r="B683" s="9"/>
      <c r="C683" s="9"/>
      <c r="D683" s="9"/>
      <c r="E683" s="9"/>
      <c r="F683" s="9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  <c r="AA683" s="9"/>
    </row>
    <row r="684" spans="1:27">
      <c r="A684" s="9"/>
      <c r="B684" s="9"/>
      <c r="C684" s="9"/>
      <c r="D684" s="9"/>
      <c r="E684" s="9"/>
      <c r="F684" s="9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  <c r="AA684" s="9"/>
    </row>
    <row r="685" spans="1:27">
      <c r="A685" s="9"/>
      <c r="B685" s="9"/>
      <c r="C685" s="9"/>
      <c r="D685" s="9"/>
      <c r="E685" s="9"/>
      <c r="F685" s="9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  <c r="AA685" s="9"/>
    </row>
    <row r="686" spans="1:27">
      <c r="A686" s="9"/>
      <c r="B686" s="9"/>
      <c r="C686" s="9"/>
      <c r="D686" s="9"/>
      <c r="E686" s="9"/>
      <c r="F686" s="9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  <c r="AA686" s="9"/>
    </row>
    <row r="687" spans="1:27">
      <c r="A687" s="9"/>
      <c r="B687" s="9"/>
      <c r="C687" s="9"/>
      <c r="D687" s="9"/>
      <c r="E687" s="9"/>
      <c r="F687" s="9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  <c r="AA687" s="9"/>
    </row>
    <row r="688" spans="1:27">
      <c r="A688" s="9"/>
      <c r="B688" s="9"/>
      <c r="C688" s="9"/>
      <c r="D688" s="9"/>
      <c r="E688" s="9"/>
      <c r="F688" s="9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  <c r="AA688" s="9"/>
    </row>
    <row r="689" spans="1:27">
      <c r="A689" s="9"/>
      <c r="B689" s="9"/>
      <c r="C689" s="9"/>
      <c r="D689" s="9"/>
      <c r="E689" s="9"/>
      <c r="F689" s="9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  <c r="AA689" s="9"/>
    </row>
    <row r="690" spans="1:27">
      <c r="A690" s="9"/>
      <c r="B690" s="9"/>
      <c r="C690" s="9"/>
      <c r="D690" s="9"/>
      <c r="E690" s="9"/>
      <c r="F690" s="9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  <c r="AA690" s="9"/>
    </row>
    <row r="691" spans="1:27">
      <c r="A691" s="9"/>
      <c r="B691" s="9"/>
      <c r="C691" s="9"/>
      <c r="D691" s="9"/>
      <c r="E691" s="9"/>
      <c r="F691" s="9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  <c r="AA691" s="9"/>
    </row>
    <row r="692" spans="1:27">
      <c r="A692" s="9"/>
      <c r="B692" s="9"/>
      <c r="C692" s="9"/>
      <c r="D692" s="9"/>
      <c r="E692" s="9"/>
      <c r="F692" s="9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  <c r="AA692" s="9"/>
    </row>
    <row r="693" spans="1:27">
      <c r="A693" s="9"/>
      <c r="B693" s="9"/>
      <c r="C693" s="9"/>
      <c r="D693" s="9"/>
      <c r="E693" s="9"/>
      <c r="F693" s="9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  <c r="AA693" s="9"/>
    </row>
    <row r="694" spans="1:27">
      <c r="A694" s="9"/>
      <c r="B694" s="9"/>
      <c r="C694" s="9"/>
      <c r="D694" s="9"/>
      <c r="E694" s="9"/>
      <c r="F694" s="9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  <c r="AA694" s="9"/>
    </row>
    <row r="695" spans="1:27">
      <c r="A695" s="9"/>
      <c r="B695" s="9"/>
      <c r="C695" s="9"/>
      <c r="D695" s="9"/>
      <c r="E695" s="9"/>
      <c r="F695" s="9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  <c r="AA695" s="9"/>
    </row>
    <row r="696" spans="1:27">
      <c r="A696" s="9"/>
      <c r="B696" s="9"/>
      <c r="C696" s="9"/>
      <c r="D696" s="9"/>
      <c r="E696" s="9"/>
      <c r="F696" s="9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  <c r="AA696" s="9"/>
    </row>
    <row r="697" spans="1:27">
      <c r="A697" s="9"/>
      <c r="B697" s="9"/>
      <c r="C697" s="9"/>
      <c r="D697" s="9"/>
      <c r="E697" s="9"/>
      <c r="F697" s="9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  <c r="AA697" s="9"/>
    </row>
    <row r="698" spans="1:27">
      <c r="A698" s="9"/>
      <c r="B698" s="9"/>
      <c r="C698" s="9"/>
      <c r="D698" s="9"/>
      <c r="E698" s="9"/>
      <c r="F698" s="9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  <c r="AA698" s="9"/>
    </row>
    <row r="699" spans="1:27">
      <c r="A699" s="9"/>
      <c r="B699" s="9"/>
      <c r="C699" s="9"/>
      <c r="D699" s="9"/>
      <c r="E699" s="9"/>
      <c r="F699" s="9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  <c r="AA699" s="9"/>
    </row>
    <row r="700" spans="1:27">
      <c r="A700" s="9"/>
      <c r="B700" s="9"/>
      <c r="C700" s="9"/>
      <c r="D700" s="9"/>
      <c r="E700" s="9"/>
      <c r="F700" s="9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  <c r="AA700" s="9"/>
    </row>
    <row r="701" spans="1:27">
      <c r="A701" s="9"/>
      <c r="B701" s="9"/>
      <c r="C701" s="9"/>
      <c r="D701" s="9"/>
      <c r="E701" s="9"/>
      <c r="F701" s="9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  <c r="AA701" s="9"/>
    </row>
    <row r="702" spans="1:27">
      <c r="A702" s="9"/>
      <c r="B702" s="9"/>
      <c r="C702" s="9"/>
      <c r="D702" s="9"/>
      <c r="E702" s="9"/>
      <c r="F702" s="9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  <c r="AA702" s="9"/>
    </row>
    <row r="703" spans="1:27">
      <c r="A703" s="9"/>
      <c r="B703" s="9"/>
      <c r="C703" s="9"/>
      <c r="D703" s="9"/>
      <c r="E703" s="9"/>
      <c r="F703" s="9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  <c r="AA703" s="9"/>
    </row>
    <row r="704" spans="1:27">
      <c r="A704" s="9"/>
      <c r="B704" s="9"/>
      <c r="C704" s="9"/>
      <c r="D704" s="9"/>
      <c r="E704" s="9"/>
      <c r="F704" s="9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  <c r="AA704" s="9"/>
    </row>
    <row r="705" spans="1:27">
      <c r="A705" s="9"/>
      <c r="B705" s="9"/>
      <c r="C705" s="9"/>
      <c r="D705" s="9"/>
      <c r="E705" s="9"/>
      <c r="F705" s="9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  <c r="AA705" s="9"/>
    </row>
    <row r="706" spans="1:27">
      <c r="A706" s="9"/>
      <c r="B706" s="9"/>
      <c r="C706" s="9"/>
      <c r="D706" s="9"/>
      <c r="E706" s="9"/>
      <c r="F706" s="9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  <c r="AA706" s="9"/>
    </row>
    <row r="707" spans="1:27">
      <c r="A707" s="9"/>
      <c r="B707" s="9"/>
      <c r="C707" s="9"/>
      <c r="D707" s="9"/>
      <c r="E707" s="9"/>
      <c r="F707" s="9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  <c r="AA707" s="9"/>
    </row>
    <row r="708" spans="1:27">
      <c r="A708" s="9"/>
      <c r="B708" s="9"/>
      <c r="C708" s="9"/>
      <c r="D708" s="9"/>
      <c r="E708" s="9"/>
      <c r="F708" s="9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  <c r="AA708" s="9"/>
    </row>
    <row r="709" spans="1:27">
      <c r="A709" s="9"/>
      <c r="B709" s="9"/>
      <c r="C709" s="9"/>
      <c r="D709" s="9"/>
      <c r="E709" s="9"/>
      <c r="F709" s="9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  <c r="AA709" s="9"/>
    </row>
    <row r="710" spans="1:27">
      <c r="A710" s="9"/>
      <c r="B710" s="9"/>
      <c r="C710" s="9"/>
      <c r="D710" s="9"/>
      <c r="E710" s="9"/>
      <c r="F710" s="9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  <c r="AA710" s="9"/>
    </row>
    <row r="711" spans="1:27">
      <c r="A711" s="9"/>
      <c r="B711" s="9"/>
      <c r="C711" s="9"/>
      <c r="D711" s="9"/>
      <c r="E711" s="9"/>
      <c r="F711" s="9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  <c r="AA711" s="9"/>
    </row>
    <row r="712" spans="1:27">
      <c r="A712" s="9"/>
      <c r="B712" s="9"/>
      <c r="C712" s="9"/>
      <c r="D712" s="9"/>
      <c r="E712" s="9"/>
      <c r="F712" s="9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  <c r="AA712" s="9"/>
    </row>
    <row r="713" spans="1:27">
      <c r="A713" s="9"/>
      <c r="B713" s="9"/>
      <c r="C713" s="9"/>
      <c r="D713" s="9"/>
      <c r="E713" s="9"/>
      <c r="F713" s="9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  <c r="AA713" s="9"/>
    </row>
    <row r="714" spans="1:27">
      <c r="A714" s="9"/>
      <c r="B714" s="9"/>
      <c r="C714" s="9"/>
      <c r="D714" s="9"/>
      <c r="E714" s="9"/>
      <c r="F714" s="9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  <c r="AA714" s="9"/>
    </row>
    <row r="715" spans="1:27">
      <c r="A715" s="9"/>
      <c r="B715" s="9"/>
      <c r="C715" s="9"/>
      <c r="D715" s="9"/>
      <c r="E715" s="9"/>
      <c r="F715" s="9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  <c r="AA715" s="9"/>
    </row>
    <row r="716" spans="1:27">
      <c r="A716" s="9"/>
      <c r="B716" s="9"/>
      <c r="C716" s="9"/>
      <c r="D716" s="9"/>
      <c r="E716" s="9"/>
      <c r="F716" s="9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  <c r="AA716" s="9"/>
    </row>
    <row r="717" spans="1:27">
      <c r="A717" s="9"/>
      <c r="B717" s="9"/>
      <c r="C717" s="9"/>
      <c r="D717" s="9"/>
      <c r="E717" s="9"/>
      <c r="F717" s="9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  <c r="AA717" s="9"/>
    </row>
    <row r="718" spans="1:27">
      <c r="A718" s="9"/>
      <c r="B718" s="9"/>
      <c r="C718" s="9"/>
      <c r="D718" s="9"/>
      <c r="E718" s="9"/>
      <c r="F718" s="9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  <c r="AA718" s="9"/>
    </row>
    <row r="719" spans="1:27">
      <c r="A719" s="9"/>
      <c r="B719" s="9"/>
      <c r="C719" s="9"/>
      <c r="D719" s="9"/>
      <c r="E719" s="9"/>
      <c r="F719" s="9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  <c r="AA719" s="9"/>
    </row>
    <row r="720" spans="1:27">
      <c r="A720" s="9"/>
      <c r="B720" s="9"/>
      <c r="C720" s="9"/>
      <c r="D720" s="9"/>
      <c r="E720" s="9"/>
      <c r="F720" s="9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  <c r="AA720" s="9"/>
    </row>
    <row r="721" spans="1:27">
      <c r="A721" s="9"/>
      <c r="B721" s="9"/>
      <c r="C721" s="9"/>
      <c r="D721" s="9"/>
      <c r="E721" s="9"/>
      <c r="F721" s="9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  <c r="AA721" s="9"/>
    </row>
    <row r="722" spans="1:27">
      <c r="A722" s="9"/>
      <c r="B722" s="9"/>
      <c r="C722" s="9"/>
      <c r="D722" s="9"/>
      <c r="E722" s="9"/>
      <c r="F722" s="9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  <c r="AA722" s="9"/>
    </row>
    <row r="723" spans="1:27">
      <c r="A723" s="9"/>
      <c r="B723" s="9"/>
      <c r="C723" s="9"/>
      <c r="D723" s="9"/>
      <c r="E723" s="9"/>
      <c r="F723" s="9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  <c r="AA723" s="9"/>
    </row>
    <row r="724" spans="1:27">
      <c r="A724" s="9"/>
      <c r="B724" s="9"/>
      <c r="C724" s="9"/>
      <c r="D724" s="9"/>
      <c r="E724" s="9"/>
      <c r="F724" s="9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  <c r="AA724" s="9"/>
    </row>
    <row r="725" spans="1:27">
      <c r="A725" s="9"/>
      <c r="B725" s="9"/>
      <c r="C725" s="9"/>
      <c r="D725" s="9"/>
      <c r="E725" s="9"/>
      <c r="F725" s="9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  <c r="AA725" s="9"/>
    </row>
    <row r="726" spans="1:27">
      <c r="A726" s="9"/>
      <c r="B726" s="9"/>
      <c r="C726" s="9"/>
      <c r="D726" s="9"/>
      <c r="E726" s="9"/>
      <c r="F726" s="9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  <c r="AA726" s="9"/>
    </row>
    <row r="727" spans="1:27">
      <c r="A727" s="9"/>
      <c r="B727" s="9"/>
      <c r="C727" s="9"/>
      <c r="D727" s="9"/>
      <c r="E727" s="9"/>
      <c r="F727" s="9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  <c r="AA727" s="9"/>
    </row>
    <row r="728" spans="1:27">
      <c r="A728" s="9"/>
      <c r="B728" s="9"/>
      <c r="C728" s="9"/>
      <c r="D728" s="9"/>
      <c r="E728" s="9"/>
      <c r="F728" s="9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  <c r="AA728" s="9"/>
    </row>
    <row r="729" spans="1:27">
      <c r="A729" s="9"/>
      <c r="B729" s="9"/>
      <c r="C729" s="9"/>
      <c r="D729" s="9"/>
      <c r="E729" s="9"/>
      <c r="F729" s="9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  <c r="AA729" s="9"/>
    </row>
    <row r="730" spans="1:27">
      <c r="A730" s="9"/>
      <c r="B730" s="9"/>
      <c r="C730" s="9"/>
      <c r="D730" s="9"/>
      <c r="E730" s="9"/>
      <c r="F730" s="9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  <c r="AA730" s="9"/>
    </row>
    <row r="731" spans="1:27">
      <c r="A731" s="9"/>
      <c r="B731" s="9"/>
      <c r="C731" s="9"/>
      <c r="D731" s="9"/>
      <c r="E731" s="9"/>
      <c r="F731" s="9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  <c r="AA731" s="9"/>
    </row>
    <row r="732" spans="1:27">
      <c r="A732" s="9"/>
      <c r="B732" s="9"/>
      <c r="C732" s="9"/>
      <c r="D732" s="9"/>
      <c r="E732" s="9"/>
      <c r="F732" s="9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  <c r="AA732" s="9"/>
    </row>
    <row r="733" spans="1:27">
      <c r="A733" s="9"/>
      <c r="B733" s="9"/>
      <c r="C733" s="9"/>
      <c r="D733" s="9"/>
      <c r="E733" s="9"/>
      <c r="F733" s="9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  <c r="AA733" s="9"/>
    </row>
    <row r="734" spans="1:27">
      <c r="A734" s="9"/>
      <c r="B734" s="9"/>
      <c r="C734" s="9"/>
      <c r="D734" s="9"/>
      <c r="E734" s="9"/>
      <c r="F734" s="9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  <c r="AA734" s="9"/>
    </row>
    <row r="735" spans="1:27">
      <c r="A735" s="9"/>
      <c r="B735" s="9"/>
      <c r="C735" s="9"/>
      <c r="D735" s="9"/>
      <c r="E735" s="9"/>
      <c r="F735" s="9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  <c r="AA735" s="9"/>
    </row>
    <row r="736" spans="1:27">
      <c r="A736" s="9"/>
      <c r="B736" s="9"/>
      <c r="C736" s="9"/>
      <c r="D736" s="9"/>
      <c r="E736" s="9"/>
      <c r="F736" s="9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  <c r="AA736" s="9"/>
    </row>
    <row r="737" spans="1:27">
      <c r="A737" s="9"/>
      <c r="B737" s="9"/>
      <c r="C737" s="9"/>
      <c r="D737" s="9"/>
      <c r="E737" s="9"/>
      <c r="F737" s="9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  <c r="AA737" s="9"/>
    </row>
    <row r="738" spans="1:27">
      <c r="A738" s="9"/>
      <c r="B738" s="9"/>
      <c r="C738" s="9"/>
      <c r="D738" s="9"/>
      <c r="E738" s="9"/>
      <c r="F738" s="9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  <c r="AA738" s="9"/>
    </row>
    <row r="739" spans="1:27">
      <c r="A739" s="9"/>
      <c r="B739" s="9"/>
      <c r="C739" s="9"/>
      <c r="D739" s="9"/>
      <c r="E739" s="9"/>
      <c r="F739" s="9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  <c r="AA739" s="9"/>
    </row>
    <row r="740" spans="1:27">
      <c r="A740" s="9"/>
      <c r="B740" s="9"/>
      <c r="C740" s="9"/>
      <c r="D740" s="9"/>
      <c r="E740" s="9"/>
      <c r="F740" s="9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  <c r="AA740" s="9"/>
    </row>
    <row r="741" spans="1:27">
      <c r="A741" s="9"/>
      <c r="B741" s="9"/>
      <c r="C741" s="9"/>
      <c r="D741" s="9"/>
      <c r="E741" s="9"/>
      <c r="F741" s="9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  <c r="AA741" s="9"/>
    </row>
    <row r="742" spans="1:27">
      <c r="A742" s="9"/>
      <c r="B742" s="9"/>
      <c r="C742" s="9"/>
      <c r="D742" s="9"/>
      <c r="E742" s="9"/>
      <c r="F742" s="9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  <c r="AA742" s="9"/>
    </row>
    <row r="743" spans="1:27">
      <c r="A743" s="9"/>
      <c r="B743" s="9"/>
      <c r="C743" s="9"/>
      <c r="D743" s="9"/>
      <c r="E743" s="9"/>
      <c r="F743" s="9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  <c r="AA743" s="9"/>
    </row>
    <row r="744" spans="1:27">
      <c r="A744" s="9"/>
      <c r="B744" s="9"/>
      <c r="C744" s="9"/>
      <c r="D744" s="9"/>
      <c r="E744" s="9"/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  <c r="AA744" s="9"/>
    </row>
    <row r="745" spans="1:27">
      <c r="A745" s="9"/>
      <c r="B745" s="9"/>
      <c r="C745" s="9"/>
      <c r="D745" s="9"/>
      <c r="E745" s="9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  <c r="AA745" s="9"/>
    </row>
    <row r="746" spans="1:27">
      <c r="A746" s="9"/>
      <c r="B746" s="9"/>
      <c r="C746" s="9"/>
      <c r="D746" s="9"/>
      <c r="E746" s="9"/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  <c r="AA746" s="9"/>
    </row>
    <row r="747" spans="1:27">
      <c r="A747" s="9"/>
      <c r="B747" s="9"/>
      <c r="C747" s="9"/>
      <c r="D747" s="9"/>
      <c r="E747" s="9"/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  <c r="AA747" s="9"/>
    </row>
    <row r="748" spans="1:27">
      <c r="A748" s="9"/>
      <c r="B748" s="9"/>
      <c r="C748" s="9"/>
      <c r="D748" s="9"/>
      <c r="E748" s="9"/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  <c r="AA748" s="9"/>
    </row>
    <row r="749" spans="1:27">
      <c r="A749" s="9"/>
      <c r="B749" s="9"/>
      <c r="C749" s="9"/>
      <c r="D749" s="9"/>
      <c r="E749" s="9"/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  <c r="AA749" s="9"/>
    </row>
    <row r="750" spans="1:27">
      <c r="A750" s="9"/>
      <c r="B750" s="9"/>
      <c r="C750" s="9"/>
      <c r="D750" s="9"/>
      <c r="E750" s="9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  <c r="AA750" s="9"/>
    </row>
    <row r="751" spans="1:27">
      <c r="A751" s="9"/>
      <c r="B751" s="9"/>
      <c r="C751" s="9"/>
      <c r="D751" s="9"/>
      <c r="E751" s="9"/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  <c r="AA751" s="9"/>
    </row>
    <row r="752" spans="1:27">
      <c r="A752" s="9"/>
      <c r="B752" s="9"/>
      <c r="C752" s="9"/>
      <c r="D752" s="9"/>
      <c r="E752" s="9"/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  <c r="AA752" s="9"/>
    </row>
    <row r="753" spans="1:27">
      <c r="A753" s="9"/>
      <c r="B753" s="9"/>
      <c r="C753" s="9"/>
      <c r="D753" s="9"/>
      <c r="E753" s="9"/>
      <c r="F753" s="9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  <c r="AA753" s="9"/>
    </row>
    <row r="754" spans="1:27">
      <c r="A754" s="9"/>
      <c r="B754" s="9"/>
      <c r="C754" s="9"/>
      <c r="D754" s="9"/>
      <c r="E754" s="9"/>
      <c r="F754" s="9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  <c r="AA754" s="9"/>
    </row>
    <row r="755" spans="1:27">
      <c r="A755" s="9"/>
      <c r="B755" s="9"/>
      <c r="C755" s="9"/>
      <c r="D755" s="9"/>
      <c r="E755" s="9"/>
      <c r="F755" s="9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  <c r="AA755" s="9"/>
    </row>
    <row r="756" spans="1:27">
      <c r="A756" s="9"/>
      <c r="B756" s="9"/>
      <c r="C756" s="9"/>
      <c r="D756" s="9"/>
      <c r="E756" s="9"/>
      <c r="F756" s="9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  <c r="AA756" s="9"/>
    </row>
    <row r="757" spans="1:27">
      <c r="A757" s="9"/>
      <c r="B757" s="9"/>
      <c r="C757" s="9"/>
      <c r="D757" s="9"/>
      <c r="E757" s="9"/>
      <c r="F757" s="9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  <c r="AA757" s="9"/>
    </row>
    <row r="758" spans="1:27">
      <c r="A758" s="9"/>
      <c r="B758" s="9"/>
      <c r="C758" s="9"/>
      <c r="D758" s="9"/>
      <c r="E758" s="9"/>
      <c r="F758" s="9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  <c r="AA758" s="9"/>
    </row>
    <row r="759" spans="1:27">
      <c r="A759" s="9"/>
      <c r="B759" s="9"/>
      <c r="C759" s="9"/>
      <c r="D759" s="9"/>
      <c r="E759" s="9"/>
      <c r="F759" s="9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  <c r="AA759" s="9"/>
    </row>
    <row r="760" spans="1:27">
      <c r="A760" s="9"/>
      <c r="B760" s="9"/>
      <c r="C760" s="9"/>
      <c r="D760" s="9"/>
      <c r="E760" s="9"/>
      <c r="F760" s="9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  <c r="AA760" s="9"/>
    </row>
    <row r="761" spans="1:27">
      <c r="A761" s="9"/>
      <c r="B761" s="9"/>
      <c r="C761" s="9"/>
      <c r="D761" s="9"/>
      <c r="E761" s="9"/>
      <c r="F761" s="9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  <c r="AA761" s="9"/>
    </row>
    <row r="762" spans="1:27">
      <c r="A762" s="9"/>
      <c r="B762" s="9"/>
      <c r="C762" s="9"/>
      <c r="D762" s="9"/>
      <c r="E762" s="9"/>
      <c r="F762" s="9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  <c r="AA762" s="9"/>
    </row>
    <row r="763" spans="1:27">
      <c r="A763" s="9"/>
      <c r="B763" s="9"/>
      <c r="C763" s="9"/>
      <c r="D763" s="9"/>
      <c r="E763" s="9"/>
      <c r="F763" s="9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  <c r="AA763" s="9"/>
    </row>
    <row r="764" spans="1:27">
      <c r="A764" s="9"/>
      <c r="B764" s="9"/>
      <c r="C764" s="9"/>
      <c r="D764" s="9"/>
      <c r="E764" s="9"/>
      <c r="F764" s="9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  <c r="AA764" s="9"/>
    </row>
    <row r="765" spans="1:27">
      <c r="A765" s="9"/>
      <c r="B765" s="9"/>
      <c r="C765" s="9"/>
      <c r="D765" s="9"/>
      <c r="E765" s="9"/>
      <c r="F765" s="9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  <c r="AA765" s="9"/>
    </row>
    <row r="766" spans="1:27">
      <c r="A766" s="9"/>
      <c r="B766" s="9"/>
      <c r="C766" s="9"/>
      <c r="D766" s="9"/>
      <c r="E766" s="9"/>
      <c r="F766" s="9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  <c r="AA766" s="9"/>
    </row>
    <row r="767" spans="1:27">
      <c r="A767" s="9"/>
      <c r="B767" s="9"/>
      <c r="C767" s="9"/>
      <c r="D767" s="9"/>
      <c r="E767" s="9"/>
      <c r="F767" s="9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  <c r="AA767" s="9"/>
    </row>
    <row r="768" spans="1:27">
      <c r="A768" s="9"/>
      <c r="B768" s="9"/>
      <c r="C768" s="9"/>
      <c r="D768" s="9"/>
      <c r="E768" s="9"/>
      <c r="F768" s="9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  <c r="AA768" s="9"/>
    </row>
    <row r="769" spans="1:27">
      <c r="A769" s="9"/>
      <c r="B769" s="9"/>
      <c r="C769" s="9"/>
      <c r="D769" s="9"/>
      <c r="E769" s="9"/>
      <c r="F769" s="9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  <c r="AA769" s="9"/>
    </row>
    <row r="770" spans="1:27">
      <c r="A770" s="9"/>
      <c r="B770" s="9"/>
      <c r="C770" s="9"/>
      <c r="D770" s="9"/>
      <c r="E770" s="9"/>
      <c r="F770" s="9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  <c r="AA770" s="9"/>
    </row>
    <row r="771" spans="1:27">
      <c r="A771" s="9"/>
      <c r="B771" s="9"/>
      <c r="C771" s="9"/>
      <c r="D771" s="9"/>
      <c r="E771" s="9"/>
      <c r="F771" s="9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  <c r="AA771" s="9"/>
    </row>
    <row r="772" spans="1:27">
      <c r="A772" s="9"/>
      <c r="B772" s="9"/>
      <c r="C772" s="9"/>
      <c r="D772" s="9"/>
      <c r="E772" s="9"/>
      <c r="F772" s="9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  <c r="AA772" s="9"/>
    </row>
    <row r="773" spans="1:27">
      <c r="A773" s="9"/>
      <c r="B773" s="9"/>
      <c r="C773" s="9"/>
      <c r="D773" s="9"/>
      <c r="E773" s="9"/>
      <c r="F773" s="9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  <c r="AA773" s="9"/>
    </row>
    <row r="774" spans="1:27">
      <c r="A774" s="9"/>
      <c r="B774" s="9"/>
      <c r="C774" s="9"/>
      <c r="D774" s="9"/>
      <c r="E774" s="9"/>
      <c r="F774" s="9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  <c r="AA774" s="9"/>
    </row>
    <row r="775" spans="1:27">
      <c r="A775" s="9"/>
      <c r="B775" s="9"/>
      <c r="C775" s="9"/>
      <c r="D775" s="9"/>
      <c r="E775" s="9"/>
      <c r="F775" s="9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  <c r="AA775" s="9"/>
    </row>
    <row r="776" spans="1:27">
      <c r="A776" s="9"/>
      <c r="B776" s="9"/>
      <c r="C776" s="9"/>
      <c r="D776" s="9"/>
      <c r="E776" s="9"/>
      <c r="F776" s="9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  <c r="AA776" s="9"/>
    </row>
    <row r="777" spans="1:27">
      <c r="A777" s="9"/>
      <c r="B777" s="9"/>
      <c r="C777" s="9"/>
      <c r="D777" s="9"/>
      <c r="E777" s="9"/>
      <c r="F777" s="9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  <c r="AA777" s="9"/>
    </row>
    <row r="778" spans="1:27">
      <c r="A778" s="9"/>
      <c r="B778" s="9"/>
      <c r="C778" s="9"/>
      <c r="D778" s="9"/>
      <c r="E778" s="9"/>
      <c r="F778" s="9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  <c r="AA778" s="9"/>
    </row>
    <row r="779" spans="1:27">
      <c r="A779" s="9"/>
      <c r="B779" s="9"/>
      <c r="C779" s="9"/>
      <c r="D779" s="9"/>
      <c r="E779" s="9"/>
      <c r="F779" s="9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  <c r="AA779" s="9"/>
    </row>
    <row r="780" spans="1:27">
      <c r="A780" s="9"/>
      <c r="B780" s="9"/>
      <c r="C780" s="9"/>
      <c r="D780" s="9"/>
      <c r="E780" s="9"/>
      <c r="F780" s="9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  <c r="AA780" s="9"/>
    </row>
    <row r="781" spans="1:27">
      <c r="A781" s="9"/>
      <c r="B781" s="9"/>
      <c r="C781" s="9"/>
      <c r="D781" s="9"/>
      <c r="E781" s="9"/>
      <c r="F781" s="9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  <c r="AA781" s="9"/>
    </row>
    <row r="782" spans="1:27">
      <c r="A782" s="9"/>
      <c r="B782" s="9"/>
      <c r="C782" s="9"/>
      <c r="D782" s="9"/>
      <c r="E782" s="9"/>
      <c r="F782" s="9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  <c r="AA782" s="9"/>
    </row>
    <row r="783" spans="1:27">
      <c r="A783" s="9"/>
      <c r="B783" s="9"/>
      <c r="C783" s="9"/>
      <c r="D783" s="9"/>
      <c r="E783" s="9"/>
      <c r="F783" s="9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  <c r="AA783" s="9"/>
    </row>
    <row r="784" spans="1:27">
      <c r="A784" s="9"/>
      <c r="B784" s="9"/>
      <c r="C784" s="9"/>
      <c r="D784" s="9"/>
      <c r="E784" s="9"/>
      <c r="F784" s="9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  <c r="AA784" s="9"/>
    </row>
    <row r="785" spans="1:27">
      <c r="A785" s="9"/>
      <c r="B785" s="9"/>
      <c r="C785" s="9"/>
      <c r="D785" s="9"/>
      <c r="E785" s="9"/>
      <c r="F785" s="9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  <c r="AA785" s="9"/>
    </row>
    <row r="786" spans="1:27">
      <c r="A786" s="9"/>
      <c r="B786" s="9"/>
      <c r="C786" s="9"/>
      <c r="D786" s="9"/>
      <c r="E786" s="9"/>
      <c r="F786" s="9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  <c r="AA786" s="9"/>
    </row>
    <row r="787" spans="1:27">
      <c r="A787" s="9"/>
      <c r="B787" s="9"/>
      <c r="C787" s="9"/>
      <c r="D787" s="9"/>
      <c r="E787" s="9"/>
      <c r="F787" s="9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  <c r="AA787" s="9"/>
    </row>
    <row r="788" spans="1:27">
      <c r="A788" s="9"/>
      <c r="B788" s="9"/>
      <c r="C788" s="9"/>
      <c r="D788" s="9"/>
      <c r="E788" s="9"/>
      <c r="F788" s="9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  <c r="AA788" s="9"/>
    </row>
    <row r="789" spans="1:27">
      <c r="A789" s="9"/>
      <c r="B789" s="9"/>
      <c r="C789" s="9"/>
      <c r="D789" s="9"/>
      <c r="E789" s="9"/>
      <c r="F789" s="9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  <c r="AA789" s="9"/>
    </row>
    <row r="790" spans="1:27">
      <c r="A790" s="9"/>
      <c r="B790" s="9"/>
      <c r="C790" s="9"/>
      <c r="D790" s="9"/>
      <c r="E790" s="9"/>
      <c r="F790" s="9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  <c r="AA790" s="9"/>
    </row>
    <row r="791" spans="1:27">
      <c r="A791" s="9"/>
      <c r="B791" s="9"/>
      <c r="C791" s="9"/>
      <c r="D791" s="9"/>
      <c r="E791" s="9"/>
      <c r="F791" s="9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  <c r="AA791" s="9"/>
    </row>
    <row r="792" spans="1:27">
      <c r="A792" s="9"/>
      <c r="B792" s="9"/>
      <c r="C792" s="9"/>
      <c r="D792" s="9"/>
      <c r="E792" s="9"/>
      <c r="F792" s="9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  <c r="AA792" s="9"/>
    </row>
    <row r="793" spans="1:27">
      <c r="A793" s="9"/>
      <c r="B793" s="9"/>
      <c r="C793" s="9"/>
      <c r="D793" s="9"/>
      <c r="E793" s="9"/>
      <c r="F793" s="9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  <c r="AA793" s="9"/>
    </row>
    <row r="794" spans="1:27">
      <c r="A794" s="9"/>
      <c r="B794" s="9"/>
      <c r="C794" s="9"/>
      <c r="D794" s="9"/>
      <c r="E794" s="9"/>
      <c r="F794" s="9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  <c r="AA794" s="9"/>
    </row>
    <row r="795" spans="1:27">
      <c r="A795" s="9"/>
      <c r="B795" s="9"/>
      <c r="C795" s="9"/>
      <c r="D795" s="9"/>
      <c r="E795" s="9"/>
      <c r="F795" s="9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  <c r="AA795" s="9"/>
    </row>
    <row r="796" spans="1:27">
      <c r="A796" s="9"/>
      <c r="B796" s="9"/>
      <c r="C796" s="9"/>
      <c r="D796" s="9"/>
      <c r="E796" s="9"/>
      <c r="F796" s="9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  <c r="AA796" s="9"/>
    </row>
    <row r="797" spans="1:27">
      <c r="A797" s="9"/>
      <c r="B797" s="9"/>
      <c r="C797" s="9"/>
      <c r="D797" s="9"/>
      <c r="E797" s="9"/>
      <c r="F797" s="9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  <c r="AA797" s="9"/>
    </row>
    <row r="798" spans="1:27">
      <c r="A798" s="9"/>
      <c r="B798" s="9"/>
      <c r="C798" s="9"/>
      <c r="D798" s="9"/>
      <c r="E798" s="9"/>
      <c r="F798" s="9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  <c r="AA798" s="9"/>
    </row>
    <row r="799" spans="1:27">
      <c r="A799" s="9"/>
      <c r="B799" s="9"/>
      <c r="C799" s="9"/>
      <c r="D799" s="9"/>
      <c r="E799" s="9"/>
      <c r="F799" s="9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  <c r="AA799" s="9"/>
    </row>
    <row r="800" spans="1:27">
      <c r="A800" s="9"/>
      <c r="B800" s="9"/>
      <c r="C800" s="9"/>
      <c r="D800" s="9"/>
      <c r="E800" s="9"/>
      <c r="F800" s="9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  <c r="AA800" s="9"/>
    </row>
    <row r="801" spans="1:27">
      <c r="A801" s="9"/>
      <c r="B801" s="9"/>
      <c r="C801" s="9"/>
      <c r="D801" s="9"/>
      <c r="E801" s="9"/>
      <c r="F801" s="9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  <c r="AA801" s="9"/>
    </row>
    <row r="802" spans="1:27">
      <c r="A802" s="9"/>
      <c r="B802" s="9"/>
      <c r="C802" s="9"/>
      <c r="D802" s="9"/>
      <c r="E802" s="9"/>
      <c r="F802" s="9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  <c r="AA802" s="9"/>
    </row>
    <row r="803" spans="1:27">
      <c r="A803" s="9"/>
      <c r="B803" s="9"/>
      <c r="C803" s="9"/>
      <c r="D803" s="9"/>
      <c r="E803" s="9"/>
      <c r="F803" s="9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  <c r="AA803" s="9"/>
    </row>
    <row r="804" spans="1:27">
      <c r="A804" s="9"/>
      <c r="B804" s="9"/>
      <c r="C804" s="9"/>
      <c r="D804" s="9"/>
      <c r="E804" s="9"/>
      <c r="F804" s="9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  <c r="AA804" s="9"/>
    </row>
    <row r="805" spans="1:27">
      <c r="A805" s="9"/>
      <c r="B805" s="9"/>
      <c r="C805" s="9"/>
      <c r="D805" s="9"/>
      <c r="E805" s="9"/>
      <c r="F805" s="9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  <c r="AA805" s="9"/>
    </row>
    <row r="806" spans="1:27">
      <c r="A806" s="9"/>
      <c r="B806" s="9"/>
      <c r="C806" s="9"/>
      <c r="D806" s="9"/>
      <c r="E806" s="9"/>
      <c r="F806" s="9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  <c r="AA806" s="9"/>
    </row>
    <row r="807" spans="1:27">
      <c r="A807" s="9"/>
      <c r="B807" s="9"/>
      <c r="C807" s="9"/>
      <c r="D807" s="9"/>
      <c r="E807" s="9"/>
      <c r="F807" s="9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  <c r="AA807" s="9"/>
    </row>
    <row r="808" spans="1:27">
      <c r="A808" s="9"/>
      <c r="B808" s="9"/>
      <c r="C808" s="9"/>
      <c r="D808" s="9"/>
      <c r="E808" s="9"/>
      <c r="F808" s="9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  <c r="AA808" s="9"/>
    </row>
    <row r="809" spans="1:27">
      <c r="A809" s="9"/>
      <c r="B809" s="9"/>
      <c r="C809" s="9"/>
      <c r="D809" s="9"/>
      <c r="E809" s="9"/>
      <c r="F809" s="9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  <c r="AA809" s="9"/>
    </row>
    <row r="810" spans="1:27">
      <c r="A810" s="9"/>
      <c r="B810" s="9"/>
      <c r="C810" s="9"/>
      <c r="D810" s="9"/>
      <c r="E810" s="9"/>
      <c r="F810" s="9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  <c r="AA810" s="9"/>
    </row>
    <row r="811" spans="1:27">
      <c r="A811" s="9"/>
      <c r="B811" s="9"/>
      <c r="C811" s="9"/>
      <c r="D811" s="9"/>
      <c r="E811" s="9"/>
      <c r="F811" s="9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  <c r="AA811" s="9"/>
    </row>
    <row r="812" spans="1:27">
      <c r="A812" s="9"/>
      <c r="B812" s="9"/>
      <c r="C812" s="9"/>
      <c r="D812" s="9"/>
      <c r="E812" s="9"/>
      <c r="F812" s="9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  <c r="AA812" s="9"/>
    </row>
    <row r="813" spans="1:27">
      <c r="A813" s="9"/>
      <c r="B813" s="9"/>
      <c r="C813" s="9"/>
      <c r="D813" s="9"/>
      <c r="E813" s="9"/>
      <c r="F813" s="9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  <c r="AA813" s="9"/>
    </row>
    <row r="814" spans="1:27">
      <c r="A814" s="9"/>
      <c r="B814" s="9"/>
      <c r="C814" s="9"/>
      <c r="D814" s="9"/>
      <c r="E814" s="9"/>
      <c r="F814" s="9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  <c r="AA814" s="9"/>
    </row>
    <row r="815" spans="1:27">
      <c r="A815" s="9"/>
      <c r="B815" s="9"/>
      <c r="C815" s="9"/>
      <c r="D815" s="9"/>
      <c r="E815" s="9"/>
      <c r="F815" s="9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  <c r="AA815" s="9"/>
    </row>
    <row r="816" spans="1:27">
      <c r="A816" s="9"/>
      <c r="B816" s="9"/>
      <c r="C816" s="9"/>
      <c r="D816" s="9"/>
      <c r="E816" s="9"/>
      <c r="F816" s="9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  <c r="AA816" s="9"/>
    </row>
    <row r="817" spans="1:27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  <c r="AA817" s="9"/>
    </row>
    <row r="818" spans="1:27">
      <c r="A818" s="9"/>
      <c r="B818" s="9"/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  <c r="AA818" s="9"/>
    </row>
    <row r="819" spans="1:27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  <c r="AA819" s="9"/>
    </row>
    <row r="820" spans="1:27">
      <c r="A820" s="9"/>
      <c r="B820" s="9"/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  <c r="AA820" s="9"/>
    </row>
    <row r="821" spans="1:27">
      <c r="A821" s="9"/>
      <c r="B821" s="9"/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  <c r="AA821" s="9"/>
    </row>
    <row r="822" spans="1:27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  <c r="AA822" s="9"/>
    </row>
    <row r="823" spans="1:27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  <c r="AA823" s="9"/>
    </row>
    <row r="824" spans="1:27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  <c r="AA824" s="9"/>
    </row>
    <row r="825" spans="1:27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  <c r="AA825" s="9"/>
    </row>
    <row r="826" spans="1:27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  <c r="AA826" s="9"/>
    </row>
    <row r="827" spans="1:27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  <c r="AA827" s="9"/>
    </row>
    <row r="828" spans="1:27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  <c r="AA828" s="9"/>
    </row>
    <row r="829" spans="1:27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  <c r="AA829" s="9"/>
    </row>
    <row r="830" spans="1:27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  <c r="AA830" s="9"/>
    </row>
    <row r="831" spans="1:27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  <c r="AA831" s="9"/>
    </row>
    <row r="832" spans="1:27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  <c r="AA832" s="9"/>
    </row>
    <row r="833" spans="1:27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  <c r="AA833" s="9"/>
    </row>
    <row r="834" spans="1:27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  <c r="AA834" s="9"/>
    </row>
    <row r="835" spans="1:27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  <c r="AA835" s="9"/>
    </row>
    <row r="836" spans="1:27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  <c r="AA836" s="9"/>
    </row>
    <row r="837" spans="1:27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  <c r="AA837" s="9"/>
    </row>
    <row r="838" spans="1:27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  <c r="AA838" s="9"/>
    </row>
    <row r="839" spans="1:27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  <c r="AA839" s="9"/>
    </row>
    <row r="840" spans="1:27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  <c r="AA840" s="9"/>
    </row>
    <row r="841" spans="1:27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  <c r="AA841" s="9"/>
    </row>
    <row r="842" spans="1:27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  <c r="AA842" s="9"/>
    </row>
    <row r="843" spans="1:27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  <c r="AA843" s="9"/>
    </row>
    <row r="844" spans="1:27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  <c r="AA844" s="9"/>
    </row>
    <row r="845" spans="1:27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  <c r="AA845" s="9"/>
    </row>
    <row r="846" spans="1:27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  <c r="AA846" s="9"/>
    </row>
    <row r="847" spans="1:27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  <c r="AA847" s="9"/>
    </row>
    <row r="848" spans="1:27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  <c r="AA848" s="9"/>
    </row>
    <row r="849" spans="1:27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  <c r="AA849" s="9"/>
    </row>
    <row r="850" spans="1:27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  <c r="AA850" s="9"/>
    </row>
    <row r="851" spans="1:27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  <c r="AA851" s="9"/>
    </row>
    <row r="852" spans="1:27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  <c r="AA852" s="9"/>
    </row>
    <row r="853" spans="1:27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  <c r="AA853" s="9"/>
    </row>
    <row r="854" spans="1:27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  <c r="AA854" s="9"/>
    </row>
    <row r="855" spans="1:27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  <c r="AA855" s="9"/>
    </row>
    <row r="856" spans="1:27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  <c r="AA856" s="9"/>
    </row>
    <row r="857" spans="1:27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  <c r="AA857" s="9"/>
    </row>
    <row r="858" spans="1:27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  <c r="AA858" s="9"/>
    </row>
    <row r="859" spans="1:27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  <c r="AA859" s="9"/>
    </row>
    <row r="860" spans="1:27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  <c r="AA860" s="9"/>
    </row>
    <row r="861" spans="1:27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  <c r="AA861" s="9"/>
    </row>
    <row r="862" spans="1:27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  <c r="AA862" s="9"/>
    </row>
    <row r="863" spans="1:27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  <c r="AA863" s="9"/>
    </row>
    <row r="864" spans="1:27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  <c r="AA864" s="9"/>
    </row>
    <row r="865" spans="1:27">
      <c r="A865" s="9"/>
      <c r="B865" s="9"/>
      <c r="C865" s="9"/>
      <c r="D865" s="9"/>
      <c r="E865" s="9"/>
      <c r="F865" s="9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  <c r="AA865" s="9"/>
    </row>
    <row r="866" spans="1:27">
      <c r="A866" s="9"/>
      <c r="B866" s="9"/>
      <c r="C866" s="9"/>
      <c r="D866" s="9"/>
      <c r="E866" s="9"/>
      <c r="F866" s="9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  <c r="AA866" s="9"/>
    </row>
    <row r="867" spans="1:27">
      <c r="A867" s="9"/>
      <c r="B867" s="9"/>
      <c r="C867" s="9"/>
      <c r="D867" s="9"/>
      <c r="E867" s="9"/>
      <c r="F867" s="9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  <c r="AA867" s="9"/>
    </row>
    <row r="868" spans="1:27">
      <c r="A868" s="9"/>
      <c r="B868" s="9"/>
      <c r="C868" s="9"/>
      <c r="D868" s="9"/>
      <c r="E868" s="9"/>
      <c r="F868" s="9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  <c r="AA868" s="9"/>
    </row>
    <row r="869" spans="1:27">
      <c r="A869" s="9"/>
      <c r="B869" s="9"/>
      <c r="C869" s="9"/>
      <c r="D869" s="9"/>
      <c r="E869" s="9"/>
      <c r="F869" s="9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  <c r="AA869" s="9"/>
    </row>
    <row r="870" spans="1:27">
      <c r="A870" s="9"/>
      <c r="B870" s="9"/>
      <c r="C870" s="9"/>
      <c r="D870" s="9"/>
      <c r="E870" s="9"/>
      <c r="F870" s="9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  <c r="AA870" s="9"/>
    </row>
    <row r="871" spans="1:27">
      <c r="A871" s="9"/>
      <c r="B871" s="9"/>
      <c r="C871" s="9"/>
      <c r="D871" s="9"/>
      <c r="E871" s="9"/>
      <c r="F871" s="9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  <c r="AA871" s="9"/>
    </row>
    <row r="872" spans="1:27">
      <c r="A872" s="9"/>
      <c r="B872" s="9"/>
      <c r="C872" s="9"/>
      <c r="D872" s="9"/>
      <c r="E872" s="9"/>
      <c r="F872" s="9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  <c r="AA872" s="9"/>
    </row>
    <row r="873" spans="1:27">
      <c r="A873" s="9"/>
      <c r="B873" s="9"/>
      <c r="C873" s="9"/>
      <c r="D873" s="9"/>
      <c r="E873" s="9"/>
      <c r="F873" s="9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  <c r="AA873" s="9"/>
    </row>
    <row r="874" spans="1:27">
      <c r="A874" s="9"/>
      <c r="B874" s="9"/>
      <c r="C874" s="9"/>
      <c r="D874" s="9"/>
      <c r="E874" s="9"/>
      <c r="F874" s="9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  <c r="AA874" s="9"/>
    </row>
    <row r="875" spans="1:27">
      <c r="A875" s="9"/>
      <c r="B875" s="9"/>
      <c r="C875" s="9"/>
      <c r="D875" s="9"/>
      <c r="E875" s="9"/>
      <c r="F875" s="9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  <c r="AA875" s="9"/>
    </row>
    <row r="876" spans="1:27">
      <c r="A876" s="9"/>
      <c r="B876" s="9"/>
      <c r="C876" s="9"/>
      <c r="D876" s="9"/>
      <c r="E876" s="9"/>
      <c r="F876" s="9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  <c r="AA876" s="9"/>
    </row>
    <row r="877" spans="1:27">
      <c r="A877" s="9"/>
      <c r="B877" s="9"/>
      <c r="C877" s="9"/>
      <c r="D877" s="9"/>
      <c r="E877" s="9"/>
      <c r="F877" s="9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  <c r="AA877" s="9"/>
    </row>
    <row r="878" spans="1:27">
      <c r="A878" s="9"/>
      <c r="B878" s="9"/>
      <c r="C878" s="9"/>
      <c r="D878" s="9"/>
      <c r="E878" s="9"/>
      <c r="F878" s="9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  <c r="AA878" s="9"/>
    </row>
    <row r="879" spans="1:27">
      <c r="A879" s="9"/>
      <c r="B879" s="9"/>
      <c r="C879" s="9"/>
      <c r="D879" s="9"/>
      <c r="E879" s="9"/>
      <c r="F879" s="9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  <c r="AA879" s="9"/>
    </row>
    <row r="880" spans="1:27">
      <c r="A880" s="9"/>
      <c r="B880" s="9"/>
      <c r="C880" s="9"/>
      <c r="D880" s="9"/>
      <c r="E880" s="9"/>
      <c r="F880" s="9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  <c r="AA880" s="9"/>
    </row>
    <row r="881" spans="1:27">
      <c r="A881" s="9"/>
      <c r="B881" s="9"/>
      <c r="C881" s="9"/>
      <c r="D881" s="9"/>
      <c r="E881" s="9"/>
      <c r="F881" s="9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  <c r="AA881" s="9"/>
    </row>
    <row r="882" spans="1:27">
      <c r="A882" s="9"/>
      <c r="B882" s="9"/>
      <c r="C882" s="9"/>
      <c r="D882" s="9"/>
      <c r="E882" s="9"/>
      <c r="F882" s="9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  <c r="AA882" s="9"/>
    </row>
    <row r="883" spans="1:27">
      <c r="A883" s="9"/>
      <c r="B883" s="9"/>
      <c r="C883" s="9"/>
      <c r="D883" s="9"/>
      <c r="E883" s="9"/>
      <c r="F883" s="9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  <c r="AA883" s="9"/>
    </row>
    <row r="884" spans="1:27">
      <c r="A884" s="9"/>
      <c r="B884" s="9"/>
      <c r="C884" s="9"/>
      <c r="D884" s="9"/>
      <c r="E884" s="9"/>
      <c r="F884" s="9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  <c r="AA884" s="9"/>
    </row>
    <row r="885" spans="1:27">
      <c r="A885" s="9"/>
      <c r="B885" s="9"/>
      <c r="C885" s="9"/>
      <c r="D885" s="9"/>
      <c r="E885" s="9"/>
      <c r="F885" s="9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  <c r="AA885" s="9"/>
    </row>
    <row r="886" spans="1:27">
      <c r="A886" s="9"/>
      <c r="B886" s="9"/>
      <c r="C886" s="9"/>
      <c r="D886" s="9"/>
      <c r="E886" s="9"/>
      <c r="F886" s="9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  <c r="AA886" s="9"/>
    </row>
    <row r="887" spans="1:27">
      <c r="A887" s="9"/>
      <c r="B887" s="9"/>
      <c r="C887" s="9"/>
      <c r="D887" s="9"/>
      <c r="E887" s="9"/>
      <c r="F887" s="9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  <c r="AA887" s="9"/>
    </row>
    <row r="888" spans="1:27">
      <c r="A888" s="9"/>
      <c r="B888" s="9"/>
      <c r="C888" s="9"/>
      <c r="D888" s="9"/>
      <c r="E888" s="9"/>
      <c r="F888" s="9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  <c r="AA888" s="9"/>
    </row>
    <row r="889" spans="1:27">
      <c r="A889" s="9"/>
      <c r="B889" s="9"/>
      <c r="C889" s="9"/>
      <c r="D889" s="9"/>
      <c r="E889" s="9"/>
      <c r="F889" s="9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  <c r="AA889" s="9"/>
    </row>
    <row r="890" spans="1:27">
      <c r="A890" s="9"/>
      <c r="B890" s="9"/>
      <c r="C890" s="9"/>
      <c r="D890" s="9"/>
      <c r="E890" s="9"/>
      <c r="F890" s="9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  <c r="AA890" s="9"/>
    </row>
    <row r="891" spans="1:27">
      <c r="A891" s="9"/>
      <c r="B891" s="9"/>
      <c r="C891" s="9"/>
      <c r="D891" s="9"/>
      <c r="E891" s="9"/>
      <c r="F891" s="9"/>
      <c r="G891" s="9"/>
      <c r="H891" s="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  <c r="AA891" s="9"/>
    </row>
    <row r="892" spans="1:27">
      <c r="A892" s="9"/>
      <c r="B892" s="9"/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  <c r="AA892" s="9"/>
    </row>
    <row r="893" spans="1:27">
      <c r="A893" s="9"/>
      <c r="B893" s="9"/>
      <c r="C893" s="9"/>
      <c r="D893" s="9"/>
      <c r="E893" s="9"/>
      <c r="F893" s="9"/>
      <c r="G893" s="9"/>
      <c r="H893" s="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  <c r="AA893" s="9"/>
    </row>
    <row r="894" spans="1:27">
      <c r="A894" s="9"/>
      <c r="B894" s="9"/>
      <c r="C894" s="9"/>
      <c r="D894" s="9"/>
      <c r="E894" s="9"/>
      <c r="F894" s="9"/>
      <c r="G894" s="9"/>
      <c r="H894" s="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  <c r="AA894" s="9"/>
    </row>
    <row r="895" spans="1:27">
      <c r="A895" s="9"/>
      <c r="B895" s="9"/>
      <c r="C895" s="9"/>
      <c r="D895" s="9"/>
      <c r="E895" s="9"/>
      <c r="F895" s="9"/>
      <c r="G895" s="9"/>
      <c r="H895" s="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  <c r="AA895" s="9"/>
    </row>
    <row r="896" spans="1:27">
      <c r="A896" s="9"/>
      <c r="B896" s="9"/>
      <c r="C896" s="9"/>
      <c r="D896" s="9"/>
      <c r="E896" s="9"/>
      <c r="F896" s="9"/>
      <c r="G896" s="9"/>
      <c r="H896" s="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  <c r="AA896" s="9"/>
    </row>
    <row r="897" spans="1:27">
      <c r="A897" s="9"/>
      <c r="B897" s="9"/>
      <c r="C897" s="9"/>
      <c r="D897" s="9"/>
      <c r="E897" s="9"/>
      <c r="F897" s="9"/>
      <c r="G897" s="9"/>
      <c r="H897" s="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  <c r="AA897" s="9"/>
    </row>
    <row r="898" spans="1:27">
      <c r="A898" s="9"/>
      <c r="B898" s="9"/>
      <c r="C898" s="9"/>
      <c r="D898" s="9"/>
      <c r="E898" s="9"/>
      <c r="F898" s="9"/>
      <c r="G898" s="9"/>
      <c r="H898" s="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  <c r="AA898" s="9"/>
    </row>
    <row r="899" spans="1:27">
      <c r="A899" s="9"/>
      <c r="B899" s="9"/>
      <c r="C899" s="9"/>
      <c r="D899" s="9"/>
      <c r="E899" s="9"/>
      <c r="F899" s="9"/>
      <c r="G899" s="9"/>
      <c r="H899" s="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  <c r="AA899" s="9"/>
    </row>
    <row r="900" spans="1:27">
      <c r="A900" s="9"/>
      <c r="B900" s="9"/>
      <c r="C900" s="9"/>
      <c r="D900" s="9"/>
      <c r="E900" s="9"/>
      <c r="F900" s="9"/>
      <c r="G900" s="9"/>
      <c r="H900" s="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  <c r="AA900" s="9"/>
    </row>
    <row r="901" spans="1:27">
      <c r="A901" s="9"/>
      <c r="B901" s="9"/>
      <c r="C901" s="9"/>
      <c r="D901" s="9"/>
      <c r="E901" s="9"/>
      <c r="F901" s="9"/>
      <c r="G901" s="9"/>
      <c r="H901" s="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  <c r="AA901" s="9"/>
    </row>
    <row r="902" spans="1:27">
      <c r="A902" s="9"/>
      <c r="B902" s="9"/>
      <c r="C902" s="9"/>
      <c r="D902" s="9"/>
      <c r="E902" s="9"/>
      <c r="F902" s="9"/>
      <c r="G902" s="9"/>
      <c r="H902" s="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  <c r="AA902" s="9"/>
    </row>
    <row r="903" spans="1:27">
      <c r="A903" s="9"/>
      <c r="B903" s="9"/>
      <c r="C903" s="9"/>
      <c r="D903" s="9"/>
      <c r="E903" s="9"/>
      <c r="F903" s="9"/>
      <c r="G903" s="9"/>
      <c r="H903" s="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  <c r="AA903" s="9"/>
    </row>
    <row r="904" spans="1:27">
      <c r="A904" s="9"/>
      <c r="B904" s="9"/>
      <c r="C904" s="9"/>
      <c r="D904" s="9"/>
      <c r="E904" s="9"/>
      <c r="F904" s="9"/>
      <c r="G904" s="9"/>
      <c r="H904" s="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  <c r="AA904" s="9"/>
    </row>
    <row r="905" spans="1:27">
      <c r="A905" s="9"/>
      <c r="B905" s="9"/>
      <c r="C905" s="9"/>
      <c r="D905" s="9"/>
      <c r="E905" s="9"/>
      <c r="F905" s="9"/>
      <c r="G905" s="9"/>
      <c r="H905" s="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  <c r="AA905" s="9"/>
    </row>
    <row r="906" spans="1:27">
      <c r="A906" s="9"/>
      <c r="B906" s="9"/>
      <c r="C906" s="9"/>
      <c r="D906" s="9"/>
      <c r="E906" s="9"/>
      <c r="F906" s="9"/>
      <c r="G906" s="9"/>
      <c r="H906" s="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  <c r="AA906" s="9"/>
    </row>
    <row r="907" spans="1:27">
      <c r="A907" s="9"/>
      <c r="B907" s="9"/>
      <c r="C907" s="9"/>
      <c r="D907" s="9"/>
      <c r="E907" s="9"/>
      <c r="F907" s="9"/>
      <c r="G907" s="9"/>
      <c r="H907" s="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  <c r="AA907" s="9"/>
    </row>
    <row r="908" spans="1:27">
      <c r="A908" s="9"/>
      <c r="B908" s="9"/>
      <c r="C908" s="9"/>
      <c r="D908" s="9"/>
      <c r="E908" s="9"/>
      <c r="F908" s="9"/>
      <c r="G908" s="9"/>
      <c r="H908" s="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  <c r="AA908" s="9"/>
    </row>
    <row r="909" spans="1:27">
      <c r="A909" s="9"/>
      <c r="B909" s="9"/>
      <c r="C909" s="9"/>
      <c r="D909" s="9"/>
      <c r="E909" s="9"/>
      <c r="F909" s="9"/>
      <c r="G909" s="9"/>
      <c r="H909" s="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  <c r="AA909" s="9"/>
    </row>
    <row r="910" spans="1:27">
      <c r="A910" s="9"/>
      <c r="B910" s="9"/>
      <c r="C910" s="9"/>
      <c r="D910" s="9"/>
      <c r="E910" s="9"/>
      <c r="F910" s="9"/>
      <c r="G910" s="9"/>
      <c r="H910" s="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  <c r="AA910" s="9"/>
    </row>
    <row r="911" spans="1:27">
      <c r="A911" s="9"/>
      <c r="B911" s="9"/>
      <c r="C911" s="9"/>
      <c r="D911" s="9"/>
      <c r="E911" s="9"/>
      <c r="F911" s="9"/>
      <c r="G911" s="9"/>
      <c r="H911" s="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  <c r="AA911" s="9"/>
    </row>
    <row r="912" spans="1:27">
      <c r="A912" s="9"/>
      <c r="B912" s="9"/>
      <c r="C912" s="9"/>
      <c r="D912" s="9"/>
      <c r="E912" s="9"/>
      <c r="F912" s="9"/>
      <c r="G912" s="9"/>
      <c r="H912" s="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  <c r="AA912" s="9"/>
    </row>
    <row r="913" spans="1:27">
      <c r="A913" s="9"/>
      <c r="B913" s="9"/>
      <c r="C913" s="9"/>
      <c r="D913" s="9"/>
      <c r="E913" s="9"/>
      <c r="F913" s="9"/>
      <c r="G913" s="9"/>
      <c r="H913" s="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  <c r="AA913" s="9"/>
    </row>
    <row r="914" spans="1:27">
      <c r="A914" s="9"/>
      <c r="B914" s="9"/>
      <c r="C914" s="9"/>
      <c r="D914" s="9"/>
      <c r="E914" s="9"/>
      <c r="F914" s="9"/>
      <c r="G914" s="9"/>
      <c r="H914" s="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  <c r="AA914" s="9"/>
    </row>
    <row r="915" spans="1:27">
      <c r="A915" s="9"/>
      <c r="B915" s="9"/>
      <c r="C915" s="9"/>
      <c r="D915" s="9"/>
      <c r="E915" s="9"/>
      <c r="F915" s="9"/>
      <c r="G915" s="9"/>
      <c r="H915" s="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  <c r="AA915" s="9"/>
    </row>
    <row r="916" spans="1:27">
      <c r="A916" s="9"/>
      <c r="B916" s="9"/>
      <c r="C916" s="9"/>
      <c r="D916" s="9"/>
      <c r="E916" s="9"/>
      <c r="F916" s="9"/>
      <c r="G916" s="9"/>
      <c r="H916" s="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  <c r="AA916" s="9"/>
    </row>
    <row r="917" spans="1:27">
      <c r="A917" s="9"/>
      <c r="B917" s="9"/>
      <c r="C917" s="9"/>
      <c r="D917" s="9"/>
      <c r="E917" s="9"/>
      <c r="F917" s="9"/>
      <c r="G917" s="9"/>
      <c r="H917" s="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  <c r="AA917" s="9"/>
    </row>
    <row r="918" spans="1:27">
      <c r="A918" s="9"/>
      <c r="B918" s="9"/>
      <c r="C918" s="9"/>
      <c r="D918" s="9"/>
      <c r="E918" s="9"/>
      <c r="F918" s="9"/>
      <c r="G918" s="9"/>
      <c r="H918" s="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  <c r="AA918" s="9"/>
    </row>
    <row r="919" spans="1:27">
      <c r="A919" s="9"/>
      <c r="B919" s="9"/>
      <c r="C919" s="9"/>
      <c r="D919" s="9"/>
      <c r="E919" s="9"/>
      <c r="F919" s="9"/>
      <c r="G919" s="9"/>
      <c r="H919" s="9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  <c r="AA919" s="9"/>
    </row>
    <row r="920" spans="1:27">
      <c r="A920" s="9"/>
      <c r="B920" s="9"/>
      <c r="C920" s="9"/>
      <c r="D920" s="9"/>
      <c r="E920" s="9"/>
      <c r="F920" s="9"/>
      <c r="G920" s="9"/>
      <c r="H920" s="9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  <c r="AA920" s="9"/>
    </row>
    <row r="921" spans="1:27">
      <c r="A921" s="9"/>
      <c r="B921" s="9"/>
      <c r="C921" s="9"/>
      <c r="D921" s="9"/>
      <c r="E921" s="9"/>
      <c r="F921" s="9"/>
      <c r="G921" s="9"/>
      <c r="H921" s="9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  <c r="AA921" s="9"/>
    </row>
    <row r="922" spans="1:27">
      <c r="A922" s="9"/>
      <c r="B922" s="9"/>
      <c r="C922" s="9"/>
      <c r="D922" s="9"/>
      <c r="E922" s="9"/>
      <c r="F922" s="9"/>
      <c r="G922" s="9"/>
      <c r="H922" s="9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  <c r="AA922" s="9"/>
    </row>
    <row r="923" spans="1:27">
      <c r="A923" s="9"/>
      <c r="B923" s="9"/>
      <c r="C923" s="9"/>
      <c r="D923" s="9"/>
      <c r="E923" s="9"/>
      <c r="F923" s="9"/>
      <c r="G923" s="9"/>
      <c r="H923" s="9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  <c r="AA923" s="9"/>
    </row>
    <row r="924" spans="1:27">
      <c r="A924" s="9"/>
      <c r="B924" s="9"/>
      <c r="C924" s="9"/>
      <c r="D924" s="9"/>
      <c r="E924" s="9"/>
      <c r="F924" s="9"/>
      <c r="G924" s="9"/>
      <c r="H924" s="9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  <c r="AA924" s="9"/>
    </row>
    <row r="925" spans="1:27">
      <c r="A925" s="9"/>
      <c r="B925" s="9"/>
      <c r="C925" s="9"/>
      <c r="D925" s="9"/>
      <c r="E925" s="9"/>
      <c r="F925" s="9"/>
      <c r="G925" s="9"/>
      <c r="H925" s="9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  <c r="AA925" s="9"/>
    </row>
    <row r="926" spans="1:27">
      <c r="A926" s="9"/>
      <c r="B926" s="9"/>
      <c r="C926" s="9"/>
      <c r="D926" s="9"/>
      <c r="E926" s="9"/>
      <c r="F926" s="9"/>
      <c r="G926" s="9"/>
      <c r="H926" s="9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  <c r="AA926" s="9"/>
    </row>
    <row r="927" spans="1:27">
      <c r="A927" s="9"/>
      <c r="B927" s="9"/>
      <c r="C927" s="9"/>
      <c r="D927" s="9"/>
      <c r="E927" s="9"/>
      <c r="F927" s="9"/>
      <c r="G927" s="9"/>
      <c r="H927" s="9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  <c r="AA927" s="9"/>
    </row>
    <row r="928" spans="1:27">
      <c r="A928" s="9"/>
      <c r="B928" s="9"/>
      <c r="C928" s="9"/>
      <c r="D928" s="9"/>
      <c r="E928" s="9"/>
      <c r="F928" s="9"/>
      <c r="G928" s="9"/>
      <c r="H928" s="9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  <c r="AA928" s="9"/>
    </row>
    <row r="929" spans="1:27">
      <c r="A929" s="9"/>
      <c r="B929" s="9"/>
      <c r="C929" s="9"/>
      <c r="D929" s="9"/>
      <c r="E929" s="9"/>
      <c r="F929" s="9"/>
      <c r="G929" s="9"/>
      <c r="H929" s="9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  <c r="AA929" s="9"/>
    </row>
    <row r="930" spans="1:27">
      <c r="A930" s="9"/>
      <c r="B930" s="9"/>
      <c r="C930" s="9"/>
      <c r="D930" s="9"/>
      <c r="E930" s="9"/>
      <c r="F930" s="9"/>
      <c r="G930" s="9"/>
      <c r="H930" s="9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  <c r="AA930" s="9"/>
    </row>
    <row r="931" spans="1:27">
      <c r="A931" s="9"/>
      <c r="B931" s="9"/>
      <c r="C931" s="9"/>
      <c r="D931" s="9"/>
      <c r="E931" s="9"/>
      <c r="F931" s="9"/>
      <c r="G931" s="9"/>
      <c r="H931" s="9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  <c r="AA931" s="9"/>
    </row>
    <row r="932" spans="1:27">
      <c r="A932" s="9"/>
      <c r="B932" s="9"/>
      <c r="C932" s="9"/>
      <c r="D932" s="9"/>
      <c r="E932" s="9"/>
      <c r="F932" s="9"/>
      <c r="G932" s="9"/>
      <c r="H932" s="9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  <c r="AA932" s="9"/>
    </row>
    <row r="933" spans="1:27">
      <c r="A933" s="9"/>
      <c r="B933" s="9"/>
      <c r="C933" s="9"/>
      <c r="D933" s="9"/>
      <c r="E933" s="9"/>
      <c r="F933" s="9"/>
      <c r="G933" s="9"/>
      <c r="H933" s="9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  <c r="AA933" s="9"/>
    </row>
    <row r="934" spans="1:27">
      <c r="A934" s="9"/>
      <c r="B934" s="9"/>
      <c r="C934" s="9"/>
      <c r="D934" s="9"/>
      <c r="E934" s="9"/>
      <c r="F934" s="9"/>
      <c r="G934" s="9"/>
      <c r="H934" s="9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  <c r="AA934" s="9"/>
    </row>
    <row r="935" spans="1:27">
      <c r="A935" s="9"/>
      <c r="B935" s="9"/>
      <c r="C935" s="9"/>
      <c r="D935" s="9"/>
      <c r="E935" s="9"/>
      <c r="F935" s="9"/>
      <c r="G935" s="9"/>
      <c r="H935" s="9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  <c r="AA935" s="9"/>
    </row>
    <row r="936" spans="1:27">
      <c r="A936" s="9"/>
      <c r="B936" s="9"/>
      <c r="C936" s="9"/>
      <c r="D936" s="9"/>
      <c r="E936" s="9"/>
      <c r="F936" s="9"/>
      <c r="G936" s="9"/>
      <c r="H936" s="9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  <c r="AA936" s="9"/>
    </row>
    <row r="937" spans="1:27">
      <c r="A937" s="9"/>
      <c r="B937" s="9"/>
      <c r="C937" s="9"/>
      <c r="D937" s="9"/>
      <c r="E937" s="9"/>
      <c r="F937" s="9"/>
      <c r="G937" s="9"/>
      <c r="H937" s="9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  <c r="AA937" s="9"/>
    </row>
    <row r="938" spans="1:27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  <c r="AA938" s="9"/>
    </row>
    <row r="939" spans="1:27">
      <c r="A939" s="9"/>
      <c r="B939" s="9"/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  <c r="AA939" s="9"/>
    </row>
    <row r="940" spans="1:27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  <c r="AA940" s="9"/>
    </row>
    <row r="941" spans="1:27">
      <c r="A941" s="9"/>
      <c r="B941" s="9"/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  <c r="AA941" s="9"/>
    </row>
    <row r="942" spans="1:27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  <c r="AA942" s="9"/>
    </row>
    <row r="943" spans="1:27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  <c r="AA943" s="9"/>
    </row>
    <row r="944" spans="1:27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  <c r="AA944" s="9"/>
    </row>
    <row r="945" spans="1:27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  <c r="AA945" s="9"/>
    </row>
    <row r="946" spans="1:27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  <c r="AA946" s="9"/>
    </row>
    <row r="947" spans="1:27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  <c r="AA947" s="9"/>
    </row>
    <row r="948" spans="1:27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  <c r="AA948" s="9"/>
    </row>
    <row r="949" spans="1:27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  <c r="AA949" s="9"/>
    </row>
    <row r="950" spans="1:27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  <c r="AA950" s="9"/>
    </row>
    <row r="951" spans="1:27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  <c r="AA951" s="9"/>
    </row>
    <row r="952" spans="1:27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  <c r="AA952" s="9"/>
    </row>
    <row r="953" spans="1:27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  <c r="AA953" s="9"/>
    </row>
    <row r="954" spans="1:27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  <c r="AA954" s="9"/>
    </row>
    <row r="955" spans="1:27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  <c r="AA955" s="9"/>
    </row>
    <row r="956" spans="1:27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  <c r="AA956" s="9"/>
    </row>
    <row r="957" spans="1:27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  <c r="AA957" s="9"/>
    </row>
    <row r="958" spans="1:27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  <c r="AA958" s="9"/>
    </row>
    <row r="959" spans="1:27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  <c r="AA959" s="9"/>
    </row>
    <row r="960" spans="1:27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  <c r="AA960" s="9"/>
    </row>
    <row r="961" spans="1:27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  <c r="AA961" s="9"/>
    </row>
    <row r="962" spans="1:27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  <c r="AA962" s="9"/>
    </row>
    <row r="963" spans="1:27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  <c r="AA963" s="9"/>
    </row>
    <row r="964" spans="1:27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  <c r="AA964" s="9"/>
    </row>
    <row r="965" spans="1:27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  <c r="AA965" s="9"/>
    </row>
    <row r="966" spans="1:27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  <c r="AA966" s="9"/>
    </row>
    <row r="967" spans="1:27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  <c r="AA967" s="9"/>
    </row>
    <row r="968" spans="1:27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  <c r="AA968" s="9"/>
    </row>
    <row r="969" spans="1:27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  <c r="AA969" s="9"/>
    </row>
    <row r="970" spans="1:27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  <c r="AA970" s="9"/>
    </row>
    <row r="971" spans="1:27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  <c r="AA971" s="9"/>
    </row>
    <row r="972" spans="1:27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  <c r="AA972" s="9"/>
    </row>
    <row r="973" spans="1:27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  <c r="AA973" s="9"/>
    </row>
    <row r="974" spans="1:27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  <c r="AA974" s="9"/>
    </row>
    <row r="975" spans="1:27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  <c r="AA975" s="9"/>
    </row>
    <row r="976" spans="1:27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  <c r="AA976" s="9"/>
    </row>
    <row r="977" spans="1:27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  <c r="AA977" s="9"/>
    </row>
    <row r="978" spans="1:27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  <c r="AA978" s="9"/>
    </row>
    <row r="979" spans="1:27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  <c r="AA979" s="9"/>
    </row>
    <row r="980" spans="1:27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  <c r="AA980" s="9"/>
    </row>
    <row r="981" spans="1:27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  <c r="AA981" s="9"/>
    </row>
    <row r="982" spans="1:27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  <c r="AA982" s="9"/>
    </row>
    <row r="983" spans="1:27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  <c r="AA983" s="9"/>
    </row>
    <row r="984" spans="1:27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  <c r="AA984" s="9"/>
    </row>
    <row r="985" spans="1:27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  <c r="AA985" s="9"/>
    </row>
    <row r="986" spans="1:27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  <c r="AA986" s="9"/>
    </row>
    <row r="987" spans="1:27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  <c r="AA987" s="9"/>
    </row>
    <row r="988" spans="1:27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  <c r="AA988" s="9"/>
    </row>
    <row r="989" spans="1:27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  <c r="AA989" s="9"/>
    </row>
    <row r="990" spans="1:27">
      <c r="A990" s="9"/>
      <c r="B990" s="9"/>
      <c r="C990" s="9"/>
      <c r="D990" s="9"/>
      <c r="E990" s="9"/>
      <c r="F990" s="9"/>
      <c r="G990" s="9"/>
      <c r="H990" s="9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  <c r="AA990" s="9"/>
    </row>
    <row r="991" spans="1:27">
      <c r="A991" s="9"/>
      <c r="B991" s="9"/>
      <c r="C991" s="9"/>
      <c r="D991" s="9"/>
      <c r="E991" s="9"/>
      <c r="F991" s="9"/>
      <c r="G991" s="9"/>
      <c r="H991" s="9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  <c r="AA991" s="9"/>
    </row>
    <row r="992" spans="1:27">
      <c r="A992" s="9"/>
      <c r="B992" s="9"/>
      <c r="C992" s="9"/>
      <c r="D992" s="9"/>
      <c r="E992" s="9"/>
      <c r="F992" s="9"/>
      <c r="G992" s="9"/>
      <c r="H992" s="9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  <c r="AA992" s="9"/>
    </row>
    <row r="993" spans="1:27">
      <c r="A993" s="9"/>
      <c r="B993" s="9"/>
      <c r="C993" s="9"/>
      <c r="D993" s="9"/>
      <c r="E993" s="9"/>
      <c r="F993" s="9"/>
      <c r="G993" s="9"/>
      <c r="H993" s="9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  <c r="AA993" s="9"/>
    </row>
    <row r="994" spans="1:27">
      <c r="A994" s="9"/>
      <c r="B994" s="9"/>
      <c r="C994" s="9"/>
      <c r="D994" s="9"/>
      <c r="E994" s="9"/>
      <c r="F994" s="9"/>
      <c r="G994" s="9"/>
      <c r="H994" s="9"/>
      <c r="I994" s="9"/>
      <c r="J994" s="9"/>
      <c r="K994" s="9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  <c r="AA994" s="9"/>
    </row>
    <row r="995" spans="1:27">
      <c r="A995" s="9"/>
      <c r="B995" s="9"/>
      <c r="C995" s="9"/>
      <c r="D995" s="9"/>
      <c r="E995" s="9"/>
      <c r="F995" s="9"/>
      <c r="G995" s="9"/>
      <c r="H995" s="9"/>
      <c r="I995" s="9"/>
      <c r="J995" s="9"/>
      <c r="K995" s="9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  <c r="AA995" s="9"/>
    </row>
    <row r="996" spans="1:27">
      <c r="A996" s="9"/>
      <c r="B996" s="9"/>
      <c r="C996" s="9"/>
      <c r="D996" s="9"/>
      <c r="E996" s="9"/>
      <c r="F996" s="9"/>
      <c r="G996" s="9"/>
      <c r="H996" s="9"/>
      <c r="I996" s="9"/>
      <c r="J996" s="9"/>
      <c r="K996" s="9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  <c r="AA996" s="9"/>
    </row>
    <row r="997" spans="1:27">
      <c r="A997" s="9"/>
      <c r="B997" s="9"/>
      <c r="C997" s="9"/>
      <c r="D997" s="9"/>
      <c r="E997" s="9"/>
      <c r="F997" s="9"/>
      <c r="G997" s="9"/>
      <c r="H997" s="9"/>
      <c r="I997" s="9"/>
      <c r="J997" s="9"/>
      <c r="K997" s="9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  <c r="AA997" s="9"/>
    </row>
    <row r="998" spans="1:27">
      <c r="A998" s="9"/>
      <c r="B998" s="9"/>
      <c r="C998" s="9"/>
      <c r="D998" s="9"/>
      <c r="E998" s="9"/>
      <c r="F998" s="9"/>
      <c r="G998" s="9"/>
      <c r="H998" s="9"/>
      <c r="I998" s="9"/>
      <c r="J998" s="9"/>
      <c r="K998" s="9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  <c r="AA998" s="9"/>
    </row>
    <row r="999" spans="1:27">
      <c r="A999" s="9"/>
      <c r="B999" s="9"/>
      <c r="C999" s="9"/>
      <c r="D999" s="9"/>
      <c r="E999" s="9"/>
      <c r="F999" s="9"/>
      <c r="G999" s="9"/>
      <c r="H999" s="9"/>
      <c r="I999" s="9"/>
      <c r="J999" s="9"/>
      <c r="K999" s="9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  <c r="AA999" s="9"/>
    </row>
    <row r="1000" spans="1:27">
      <c r="A1000" s="9"/>
      <c r="B1000" s="9"/>
      <c r="C1000" s="9"/>
      <c r="D1000" s="9"/>
      <c r="E1000" s="9"/>
      <c r="F1000" s="9"/>
      <c r="G1000" s="9"/>
      <c r="H1000" s="9"/>
      <c r="I1000" s="9"/>
      <c r="J1000" s="9"/>
      <c r="K1000" s="9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  <c r="AA1000" s="9"/>
    </row>
    <row r="1001" spans="1:27">
      <c r="A1001" s="9"/>
      <c r="B1001" s="9"/>
      <c r="C1001" s="9"/>
      <c r="D1001" s="9"/>
      <c r="E1001" s="9"/>
      <c r="F1001" s="9"/>
      <c r="G1001" s="9"/>
      <c r="H1001" s="9"/>
      <c r="I1001" s="9"/>
      <c r="J1001" s="9"/>
      <c r="K1001" s="9"/>
      <c r="L1001" s="9"/>
      <c r="M1001" s="9"/>
      <c r="N1001" s="9"/>
      <c r="O1001" s="9"/>
      <c r="P1001" s="9"/>
      <c r="Q1001" s="9"/>
      <c r="R1001" s="9"/>
      <c r="S1001" s="9"/>
      <c r="T1001" s="9"/>
      <c r="U1001" s="9"/>
      <c r="V1001" s="9"/>
      <c r="W1001" s="9"/>
      <c r="X1001" s="9"/>
      <c r="Y1001" s="9"/>
      <c r="Z1001" s="9"/>
      <c r="AA1001" s="9"/>
    </row>
    <row r="1002" spans="1:27">
      <c r="A1002" s="9"/>
      <c r="B1002" s="9"/>
      <c r="C1002" s="9"/>
      <c r="D1002" s="9"/>
      <c r="E1002" s="9"/>
      <c r="F1002" s="9"/>
      <c r="G1002" s="9"/>
      <c r="H1002" s="9"/>
      <c r="I1002" s="9"/>
      <c r="J1002" s="9"/>
      <c r="K1002" s="9"/>
      <c r="L1002" s="9"/>
      <c r="M1002" s="9"/>
      <c r="N1002" s="9"/>
      <c r="O1002" s="9"/>
      <c r="P1002" s="9"/>
      <c r="Q1002" s="9"/>
      <c r="R1002" s="9"/>
      <c r="S1002" s="9"/>
      <c r="T1002" s="9"/>
      <c r="U1002" s="9"/>
      <c r="V1002" s="9"/>
      <c r="W1002" s="9"/>
      <c r="X1002" s="9"/>
      <c r="Y1002" s="9"/>
      <c r="Z1002" s="9"/>
      <c r="AA1002" s="9"/>
    </row>
    <row r="1003" spans="1:27">
      <c r="A1003" s="9"/>
      <c r="B1003" s="9"/>
      <c r="C1003" s="9"/>
      <c r="D1003" s="9"/>
      <c r="E1003" s="9"/>
      <c r="F1003" s="9"/>
      <c r="G1003" s="9"/>
      <c r="H1003" s="9"/>
      <c r="I1003" s="9"/>
      <c r="J1003" s="9"/>
      <c r="K1003" s="9"/>
      <c r="L1003" s="9"/>
      <c r="M1003" s="9"/>
      <c r="N1003" s="9"/>
      <c r="O1003" s="9"/>
      <c r="P1003" s="9"/>
      <c r="Q1003" s="9"/>
      <c r="R1003" s="9"/>
      <c r="S1003" s="9"/>
      <c r="T1003" s="9"/>
      <c r="U1003" s="9"/>
      <c r="V1003" s="9"/>
      <c r="W1003" s="9"/>
      <c r="X1003" s="9"/>
      <c r="Y1003" s="9"/>
      <c r="Z1003" s="9"/>
      <c r="AA1003" s="9"/>
    </row>
    <row r="1004" spans="1:27">
      <c r="A1004" s="9"/>
      <c r="B1004" s="9"/>
      <c r="C1004" s="9"/>
      <c r="D1004" s="9"/>
      <c r="E1004" s="9"/>
      <c r="F1004" s="9"/>
      <c r="G1004" s="9"/>
      <c r="H1004" s="9"/>
      <c r="I1004" s="9"/>
      <c r="J1004" s="9"/>
      <c r="K1004" s="9"/>
      <c r="L1004" s="9"/>
      <c r="M1004" s="9"/>
      <c r="N1004" s="9"/>
      <c r="O1004" s="9"/>
      <c r="P1004" s="9"/>
      <c r="Q1004" s="9"/>
      <c r="R1004" s="9"/>
      <c r="S1004" s="9"/>
      <c r="T1004" s="9"/>
      <c r="U1004" s="9"/>
      <c r="V1004" s="9"/>
      <c r="W1004" s="9"/>
      <c r="X1004" s="9"/>
      <c r="Y1004" s="9"/>
      <c r="Z1004" s="9"/>
      <c r="AA1004" s="9"/>
    </row>
    <row r="1005" spans="1:27">
      <c r="A1005" s="9"/>
      <c r="B1005" s="9"/>
      <c r="C1005" s="9"/>
      <c r="D1005" s="9"/>
      <c r="E1005" s="9"/>
      <c r="F1005" s="9"/>
      <c r="G1005" s="9"/>
      <c r="H1005" s="9"/>
      <c r="I1005" s="9"/>
      <c r="J1005" s="9"/>
      <c r="K1005" s="9"/>
      <c r="L1005" s="9"/>
      <c r="M1005" s="9"/>
      <c r="N1005" s="9"/>
      <c r="O1005" s="9"/>
      <c r="P1005" s="9"/>
      <c r="Q1005" s="9"/>
      <c r="R1005" s="9"/>
      <c r="S1005" s="9"/>
      <c r="T1005" s="9"/>
      <c r="U1005" s="9"/>
      <c r="V1005" s="9"/>
      <c r="W1005" s="9"/>
      <c r="X1005" s="9"/>
      <c r="Y1005" s="9"/>
      <c r="Z1005" s="9"/>
      <c r="AA1005" s="9"/>
    </row>
    <row r="1006" spans="1:27">
      <c r="A1006" s="9"/>
      <c r="B1006" s="9"/>
      <c r="C1006" s="9"/>
      <c r="D1006" s="9"/>
      <c r="E1006" s="9"/>
      <c r="F1006" s="9"/>
      <c r="G1006" s="9"/>
      <c r="H1006" s="9"/>
      <c r="I1006" s="9"/>
      <c r="J1006" s="9"/>
      <c r="K1006" s="9"/>
      <c r="L1006" s="9"/>
      <c r="M1006" s="9"/>
      <c r="N1006" s="9"/>
      <c r="O1006" s="9"/>
      <c r="P1006" s="9"/>
      <c r="Q1006" s="9"/>
      <c r="R1006" s="9"/>
      <c r="S1006" s="9"/>
      <c r="T1006" s="9"/>
      <c r="U1006" s="9"/>
      <c r="V1006" s="9"/>
      <c r="W1006" s="9"/>
      <c r="X1006" s="9"/>
      <c r="Y1006" s="9"/>
      <c r="Z1006" s="9"/>
      <c r="AA1006" s="9"/>
    </row>
    <row r="1007" spans="1:27">
      <c r="A1007" s="9"/>
      <c r="B1007" s="9"/>
      <c r="C1007" s="9"/>
      <c r="D1007" s="9"/>
      <c r="E1007" s="9"/>
      <c r="F1007" s="9"/>
      <c r="G1007" s="9"/>
      <c r="H1007" s="9"/>
      <c r="I1007" s="9"/>
      <c r="J1007" s="9"/>
      <c r="K1007" s="9"/>
      <c r="L1007" s="9"/>
      <c r="M1007" s="9"/>
      <c r="N1007" s="9"/>
      <c r="O1007" s="9"/>
      <c r="P1007" s="9"/>
      <c r="Q1007" s="9"/>
      <c r="R1007" s="9"/>
      <c r="S1007" s="9"/>
      <c r="T1007" s="9"/>
      <c r="U1007" s="9"/>
      <c r="V1007" s="9"/>
      <c r="W1007" s="9"/>
      <c r="X1007" s="9"/>
      <c r="Y1007" s="9"/>
      <c r="Z1007" s="9"/>
      <c r="AA1007" s="9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I75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B3" sqref="B3"/>
    </sheetView>
  </sheetViews>
  <sheetFormatPr defaultColWidth="12.5703125" defaultRowHeight="15.75" customHeight="1"/>
  <cols>
    <col min="1" max="1" width="22.85546875" customWidth="1"/>
    <col min="3" max="12" width="14.5703125" customWidth="1"/>
    <col min="14" max="14" width="8.140625" customWidth="1"/>
    <col min="15" max="15" width="20.5703125" customWidth="1"/>
  </cols>
  <sheetData>
    <row r="1" spans="1:35">
      <c r="A1" s="8"/>
      <c r="B1" s="8" t="s">
        <v>28</v>
      </c>
      <c r="C1" s="8"/>
      <c r="D1" s="112" t="s">
        <v>158</v>
      </c>
      <c r="E1" s="110"/>
      <c r="F1" s="110"/>
      <c r="G1" s="110"/>
      <c r="H1" s="110"/>
      <c r="I1" s="110"/>
      <c r="J1" s="110"/>
      <c r="K1" s="110"/>
      <c r="L1" s="110"/>
      <c r="M1" s="8" t="s">
        <v>30</v>
      </c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  <c r="AA1" s="9"/>
      <c r="AB1" s="9"/>
      <c r="AC1" s="9"/>
      <c r="AD1" s="9"/>
      <c r="AE1" s="9"/>
      <c r="AF1" s="9"/>
      <c r="AG1" s="9"/>
      <c r="AH1" s="9"/>
      <c r="AI1" s="9"/>
    </row>
    <row r="2" spans="1:35">
      <c r="A2" s="8"/>
      <c r="B2" s="8"/>
      <c r="C2" s="8" t="s">
        <v>159</v>
      </c>
      <c r="D2" s="8" t="s">
        <v>160</v>
      </c>
      <c r="E2" s="8" t="s">
        <v>161</v>
      </c>
      <c r="F2" s="8" t="s">
        <v>162</v>
      </c>
      <c r="G2" s="8" t="s">
        <v>163</v>
      </c>
      <c r="H2" s="8" t="s">
        <v>164</v>
      </c>
      <c r="I2" s="8" t="s">
        <v>165</v>
      </c>
      <c r="J2" s="8" t="s">
        <v>166</v>
      </c>
      <c r="K2" s="8" t="s">
        <v>167</v>
      </c>
      <c r="L2" s="8" t="s">
        <v>168</v>
      </c>
      <c r="M2" s="8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  <c r="AA2" s="9"/>
      <c r="AB2" s="9"/>
      <c r="AC2" s="9"/>
      <c r="AD2" s="9"/>
      <c r="AE2" s="9"/>
      <c r="AF2" s="9"/>
      <c r="AG2" s="9"/>
      <c r="AH2" s="9"/>
      <c r="AI2" s="9"/>
    </row>
    <row r="3" spans="1:35">
      <c r="A3" s="9" t="s">
        <v>35</v>
      </c>
      <c r="B3" s="9" t="s">
        <v>36</v>
      </c>
      <c r="C3" s="11">
        <v>28</v>
      </c>
      <c r="D3" s="11">
        <v>20</v>
      </c>
      <c r="E3" s="11">
        <v>37</v>
      </c>
      <c r="F3" s="11">
        <v>21</v>
      </c>
      <c r="G3" s="11">
        <v>21</v>
      </c>
      <c r="H3" s="11">
        <v>32</v>
      </c>
      <c r="I3" s="11">
        <v>32</v>
      </c>
      <c r="J3" s="11">
        <v>32</v>
      </c>
      <c r="K3" s="11">
        <v>24</v>
      </c>
      <c r="L3" s="11">
        <v>17</v>
      </c>
      <c r="M3" s="9" t="s">
        <v>37</v>
      </c>
      <c r="N3" s="8"/>
      <c r="P3" s="9"/>
      <c r="Q3" s="9"/>
      <c r="R3" s="9"/>
      <c r="S3" s="9"/>
      <c r="T3" s="9"/>
      <c r="U3" s="9"/>
      <c r="V3" s="9"/>
      <c r="W3" s="9"/>
      <c r="X3" s="9"/>
      <c r="Y3" s="9"/>
      <c r="Z3" s="9"/>
      <c r="AA3" s="9"/>
      <c r="AB3" s="9"/>
      <c r="AC3" s="9"/>
      <c r="AD3" s="9"/>
      <c r="AE3" s="9"/>
      <c r="AF3" s="9"/>
      <c r="AG3" s="9"/>
      <c r="AH3" s="9"/>
      <c r="AI3" s="9"/>
    </row>
    <row r="4" spans="1:35">
      <c r="A4" s="9" t="s">
        <v>39</v>
      </c>
      <c r="B4" s="9" t="s">
        <v>40</v>
      </c>
      <c r="C4" s="11">
        <v>40</v>
      </c>
      <c r="D4" s="11">
        <v>37</v>
      </c>
      <c r="E4" s="11">
        <v>56</v>
      </c>
      <c r="F4" s="11">
        <v>51</v>
      </c>
      <c r="G4" s="11">
        <v>21</v>
      </c>
      <c r="H4" s="11">
        <v>34</v>
      </c>
      <c r="I4" s="11">
        <v>32</v>
      </c>
      <c r="J4" s="11">
        <v>49</v>
      </c>
      <c r="K4" s="11">
        <v>27</v>
      </c>
      <c r="L4" s="11">
        <v>31</v>
      </c>
      <c r="M4" s="9" t="s">
        <v>37</v>
      </c>
      <c r="N4" s="9"/>
      <c r="P4" s="9"/>
      <c r="Q4" s="9"/>
      <c r="R4" s="9"/>
      <c r="S4" s="9"/>
      <c r="T4" s="9"/>
      <c r="U4" s="9"/>
      <c r="V4" s="9"/>
      <c r="W4" s="9"/>
      <c r="X4" s="9"/>
      <c r="Y4" s="9"/>
      <c r="Z4" s="9"/>
      <c r="AA4" s="9"/>
      <c r="AB4" s="9"/>
      <c r="AC4" s="9"/>
      <c r="AD4" s="9"/>
      <c r="AE4" s="9"/>
      <c r="AF4" s="9"/>
      <c r="AG4" s="9"/>
      <c r="AH4" s="9"/>
      <c r="AI4" s="9"/>
    </row>
    <row r="5" spans="1:35">
      <c r="A5" s="9" t="s">
        <v>42</v>
      </c>
      <c r="B5" s="9" t="s">
        <v>43</v>
      </c>
      <c r="C5" s="11">
        <v>8</v>
      </c>
      <c r="D5" s="11">
        <v>12</v>
      </c>
      <c r="E5" s="11">
        <v>12</v>
      </c>
      <c r="F5" s="11">
        <v>12</v>
      </c>
      <c r="G5" s="11">
        <v>12</v>
      </c>
      <c r="H5" s="11">
        <v>12</v>
      </c>
      <c r="I5" s="11">
        <v>12</v>
      </c>
      <c r="J5" s="11">
        <v>12</v>
      </c>
      <c r="K5" s="11">
        <v>8</v>
      </c>
      <c r="L5" s="11">
        <v>10</v>
      </c>
      <c r="M5" s="9" t="s">
        <v>44</v>
      </c>
      <c r="N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  <c r="AC5" s="9"/>
      <c r="AD5" s="9"/>
      <c r="AE5" s="9"/>
      <c r="AF5" s="9"/>
      <c r="AG5" s="9"/>
      <c r="AH5" s="9"/>
      <c r="AI5" s="9"/>
    </row>
    <row r="6" spans="1:35">
      <c r="A6" s="9" t="s">
        <v>49</v>
      </c>
      <c r="B6" s="9" t="s">
        <v>50</v>
      </c>
      <c r="C6" s="9">
        <v>1</v>
      </c>
      <c r="D6" s="11">
        <v>2.625</v>
      </c>
      <c r="E6" s="9">
        <f>D6</f>
        <v>2.625</v>
      </c>
      <c r="F6" s="17">
        <f>G6</f>
        <v>0.5</v>
      </c>
      <c r="G6" s="18">
        <v>0.5</v>
      </c>
      <c r="H6" s="17">
        <f>I6</f>
        <v>1.125</v>
      </c>
      <c r="I6" s="18">
        <v>1.125</v>
      </c>
      <c r="J6" s="17">
        <f>I6</f>
        <v>1.125</v>
      </c>
      <c r="K6" s="18">
        <v>0.5</v>
      </c>
      <c r="L6" s="18">
        <v>0.5</v>
      </c>
      <c r="M6" s="9" t="s">
        <v>51</v>
      </c>
      <c r="N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9"/>
      <c r="AD6" s="9"/>
      <c r="AE6" s="9"/>
      <c r="AF6" s="9"/>
      <c r="AG6" s="9"/>
      <c r="AH6" s="9"/>
      <c r="AI6" s="9"/>
    </row>
    <row r="7" spans="1:35">
      <c r="A7" s="9" t="s">
        <v>169</v>
      </c>
      <c r="B7" s="9" t="s">
        <v>54</v>
      </c>
      <c r="C7" s="11">
        <v>14000</v>
      </c>
      <c r="D7" s="11">
        <v>9800</v>
      </c>
      <c r="E7" s="14">
        <f>9800*(20/37)</f>
        <v>5297.2972972972975</v>
      </c>
      <c r="F7" s="11">
        <v>8500</v>
      </c>
      <c r="G7" s="11">
        <v>8500</v>
      </c>
      <c r="H7" s="14">
        <v>10412.5</v>
      </c>
      <c r="I7" s="14">
        <v>10412.5</v>
      </c>
      <c r="J7" s="14">
        <v>10412.5</v>
      </c>
      <c r="K7" s="14">
        <v>7650</v>
      </c>
      <c r="L7" s="11">
        <v>13950</v>
      </c>
      <c r="M7" s="9" t="s">
        <v>55</v>
      </c>
      <c r="N7" s="9"/>
      <c r="O7" s="19" t="s">
        <v>38</v>
      </c>
      <c r="P7" s="9"/>
      <c r="Q7" s="9"/>
      <c r="R7" s="9"/>
      <c r="S7" s="9"/>
      <c r="T7" s="9"/>
      <c r="U7" s="9"/>
      <c r="V7" s="9"/>
      <c r="W7" s="9"/>
      <c r="X7" s="9"/>
      <c r="Y7" s="9"/>
      <c r="Z7" s="9"/>
      <c r="AA7" s="9"/>
      <c r="AB7" s="9"/>
      <c r="AC7" s="9"/>
      <c r="AD7" s="9"/>
      <c r="AE7" s="9"/>
      <c r="AF7" s="9"/>
      <c r="AG7" s="9"/>
      <c r="AH7" s="9"/>
      <c r="AI7" s="9"/>
    </row>
    <row r="8" spans="1:35">
      <c r="A8" s="9" t="s">
        <v>67</v>
      </c>
      <c r="B8" s="9" t="s">
        <v>68</v>
      </c>
      <c r="C8" s="20">
        <v>150.04900000000001</v>
      </c>
      <c r="D8" s="20">
        <v>74.995636652122187</v>
      </c>
      <c r="E8" s="20">
        <v>74.995636652122187</v>
      </c>
      <c r="F8" s="20">
        <v>9.9936533121777078</v>
      </c>
      <c r="G8" s="20">
        <v>9.9936533121777078</v>
      </c>
      <c r="H8" s="20">
        <v>75.05370884569615</v>
      </c>
      <c r="I8" s="20">
        <v>75.05370884569615</v>
      </c>
      <c r="J8" s="20">
        <v>75.05370884569615</v>
      </c>
      <c r="K8" s="20">
        <v>10.004601348671162</v>
      </c>
      <c r="L8" s="20">
        <v>10.004601348671162</v>
      </c>
      <c r="M8" s="9" t="s">
        <v>69</v>
      </c>
      <c r="N8" s="9"/>
      <c r="O8" s="21" t="s">
        <v>41</v>
      </c>
      <c r="P8" s="9"/>
      <c r="Q8" s="9"/>
      <c r="R8" s="9"/>
      <c r="S8" s="9"/>
      <c r="T8" s="9"/>
      <c r="U8" s="9"/>
      <c r="V8" s="9"/>
      <c r="W8" s="9"/>
      <c r="X8" s="9"/>
      <c r="Y8" s="9"/>
      <c r="Z8" s="9"/>
      <c r="AA8" s="9"/>
      <c r="AB8" s="9"/>
      <c r="AC8" s="9"/>
      <c r="AD8" s="9"/>
      <c r="AE8" s="9"/>
      <c r="AF8" s="9"/>
      <c r="AG8" s="9"/>
      <c r="AH8" s="9"/>
      <c r="AI8" s="9"/>
    </row>
    <row r="9" spans="1:35">
      <c r="A9" s="9" t="s">
        <v>170</v>
      </c>
      <c r="B9" s="9" t="s">
        <v>171</v>
      </c>
      <c r="C9" s="14" t="s">
        <v>18</v>
      </c>
      <c r="D9" s="14" t="s">
        <v>18</v>
      </c>
      <c r="E9" s="14" t="s">
        <v>18</v>
      </c>
      <c r="F9" s="14" t="s">
        <v>18</v>
      </c>
      <c r="G9" s="14" t="s">
        <v>18</v>
      </c>
      <c r="H9" s="14" t="s">
        <v>18</v>
      </c>
      <c r="I9" s="14" t="s">
        <v>18</v>
      </c>
      <c r="J9" s="14" t="s">
        <v>18</v>
      </c>
      <c r="K9" s="14" t="s">
        <v>18</v>
      </c>
      <c r="L9" s="14" t="s">
        <v>18</v>
      </c>
      <c r="M9" s="9"/>
      <c r="N9" s="9"/>
      <c r="O9" s="22" t="s">
        <v>45</v>
      </c>
      <c r="P9" s="9"/>
      <c r="Q9" s="9"/>
      <c r="R9" s="9"/>
      <c r="S9" s="9"/>
      <c r="T9" s="9"/>
      <c r="U9" s="9"/>
      <c r="V9" s="9"/>
      <c r="W9" s="9"/>
      <c r="X9" s="9"/>
      <c r="Y9" s="9"/>
      <c r="Z9" s="9"/>
      <c r="AA9" s="9"/>
      <c r="AB9" s="9"/>
      <c r="AC9" s="9"/>
      <c r="AD9" s="9"/>
      <c r="AE9" s="9"/>
      <c r="AF9" s="9"/>
      <c r="AG9" s="9"/>
      <c r="AH9" s="9"/>
      <c r="AI9" s="9"/>
    </row>
    <row r="10" spans="1:35">
      <c r="A10" s="9" t="s">
        <v>172</v>
      </c>
      <c r="B10" s="9" t="s">
        <v>173</v>
      </c>
      <c r="C10" s="14" t="s">
        <v>18</v>
      </c>
      <c r="D10" s="14" t="s">
        <v>18</v>
      </c>
      <c r="E10" s="14" t="s">
        <v>18</v>
      </c>
      <c r="F10" s="14" t="s">
        <v>18</v>
      </c>
      <c r="G10" s="14" t="s">
        <v>18</v>
      </c>
      <c r="H10" s="14" t="s">
        <v>18</v>
      </c>
      <c r="I10" s="14" t="s">
        <v>18</v>
      </c>
      <c r="J10" s="14" t="s">
        <v>18</v>
      </c>
      <c r="K10" s="14" t="s">
        <v>18</v>
      </c>
      <c r="L10" s="14" t="s">
        <v>18</v>
      </c>
      <c r="M10" s="9"/>
      <c r="N10" s="9"/>
      <c r="O10" s="23" t="s">
        <v>48</v>
      </c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  <c r="AA10" s="9"/>
      <c r="AB10" s="9"/>
      <c r="AC10" s="9"/>
      <c r="AD10" s="9"/>
      <c r="AE10" s="9"/>
      <c r="AF10" s="9"/>
      <c r="AG10" s="9"/>
      <c r="AH10" s="9"/>
      <c r="AI10" s="9"/>
    </row>
    <row r="11" spans="1:35">
      <c r="A11" s="9" t="s">
        <v>70</v>
      </c>
      <c r="B11" s="9" t="s">
        <v>71</v>
      </c>
      <c r="C11" s="24">
        <v>340</v>
      </c>
      <c r="D11" s="25">
        <f t="shared" ref="D11:L11" si="0">$C11</f>
        <v>340</v>
      </c>
      <c r="E11" s="25">
        <f t="shared" si="0"/>
        <v>340</v>
      </c>
      <c r="F11" s="25">
        <f t="shared" si="0"/>
        <v>340</v>
      </c>
      <c r="G11" s="25">
        <f t="shared" si="0"/>
        <v>340</v>
      </c>
      <c r="H11" s="25">
        <f t="shared" si="0"/>
        <v>340</v>
      </c>
      <c r="I11" s="25">
        <f t="shared" si="0"/>
        <v>340</v>
      </c>
      <c r="J11" s="25">
        <f t="shared" si="0"/>
        <v>340</v>
      </c>
      <c r="K11" s="25">
        <f t="shared" si="0"/>
        <v>340</v>
      </c>
      <c r="L11" s="25">
        <f t="shared" si="0"/>
        <v>340</v>
      </c>
      <c r="M11" s="9" t="s">
        <v>72</v>
      </c>
      <c r="N11" s="9"/>
      <c r="O11" s="26" t="s">
        <v>174</v>
      </c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  <c r="AA11" s="9"/>
      <c r="AB11" s="9"/>
      <c r="AC11" s="9"/>
      <c r="AD11" s="9"/>
      <c r="AE11" s="9"/>
      <c r="AF11" s="9"/>
      <c r="AG11" s="9"/>
      <c r="AH11" s="9"/>
      <c r="AI11" s="9"/>
    </row>
    <row r="12" spans="1:35">
      <c r="A12" s="9" t="s">
        <v>73</v>
      </c>
      <c r="B12" s="9" t="s">
        <v>74</v>
      </c>
      <c r="C12" s="25">
        <f t="shared" ref="C12:L12" si="1">C11</f>
        <v>340</v>
      </c>
      <c r="D12" s="25">
        <f t="shared" si="1"/>
        <v>340</v>
      </c>
      <c r="E12" s="25">
        <f t="shared" si="1"/>
        <v>340</v>
      </c>
      <c r="F12" s="25">
        <f t="shared" si="1"/>
        <v>340</v>
      </c>
      <c r="G12" s="25">
        <f t="shared" si="1"/>
        <v>340</v>
      </c>
      <c r="H12" s="25">
        <f t="shared" si="1"/>
        <v>340</v>
      </c>
      <c r="I12" s="25">
        <f t="shared" si="1"/>
        <v>340</v>
      </c>
      <c r="J12" s="25">
        <f t="shared" si="1"/>
        <v>340</v>
      </c>
      <c r="K12" s="25">
        <f t="shared" si="1"/>
        <v>340</v>
      </c>
      <c r="L12" s="25">
        <f t="shared" si="1"/>
        <v>340</v>
      </c>
      <c r="M12" s="9" t="s">
        <v>72</v>
      </c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  <c r="Y12" s="9"/>
      <c r="Z12" s="9"/>
      <c r="AA12" s="9"/>
      <c r="AB12" s="9"/>
      <c r="AC12" s="9"/>
      <c r="AD12" s="9"/>
      <c r="AE12" s="9"/>
      <c r="AF12" s="9"/>
      <c r="AG12" s="9"/>
      <c r="AH12" s="9"/>
      <c r="AI12" s="9"/>
    </row>
    <row r="13" spans="1:35">
      <c r="A13" s="9" t="s">
        <v>104</v>
      </c>
      <c r="B13" s="9" t="s">
        <v>105</v>
      </c>
      <c r="C13" s="11"/>
      <c r="D13" s="11">
        <v>4</v>
      </c>
      <c r="E13" s="11">
        <v>4</v>
      </c>
      <c r="F13" s="11">
        <v>4</v>
      </c>
      <c r="G13" s="11">
        <v>4</v>
      </c>
      <c r="H13" s="11">
        <v>4</v>
      </c>
      <c r="I13" s="11">
        <v>4</v>
      </c>
      <c r="J13" s="11">
        <v>4</v>
      </c>
      <c r="K13" s="11">
        <v>4</v>
      </c>
      <c r="L13" s="11">
        <v>4</v>
      </c>
      <c r="M13" s="9" t="s">
        <v>51</v>
      </c>
      <c r="N13" s="9"/>
      <c r="O13" s="9"/>
      <c r="P13" s="9"/>
      <c r="Q13" s="9"/>
      <c r="R13" s="9"/>
      <c r="S13" s="9"/>
      <c r="T13" s="9"/>
      <c r="U13" s="9"/>
      <c r="V13" s="9"/>
      <c r="W13" s="9"/>
      <c r="X13" s="9"/>
      <c r="Y13" s="9"/>
      <c r="Z13" s="9"/>
      <c r="AA13" s="9"/>
      <c r="AB13" s="9"/>
      <c r="AC13" s="9"/>
      <c r="AD13" s="9"/>
      <c r="AE13" s="9"/>
      <c r="AF13" s="9"/>
      <c r="AG13" s="9"/>
      <c r="AH13" s="9"/>
      <c r="AI13" s="9"/>
    </row>
    <row r="14" spans="1:35">
      <c r="A14" s="9" t="s">
        <v>106</v>
      </c>
      <c r="B14" s="9" t="s">
        <v>107</v>
      </c>
      <c r="C14" s="11"/>
      <c r="D14" s="11">
        <v>1.1000000000000001</v>
      </c>
      <c r="E14" s="11">
        <v>1.1000000000000001</v>
      </c>
      <c r="F14" s="11">
        <v>0</v>
      </c>
      <c r="G14" s="11">
        <v>0</v>
      </c>
      <c r="H14" s="11">
        <v>0</v>
      </c>
      <c r="I14" s="11">
        <v>0</v>
      </c>
      <c r="J14" s="11">
        <v>0</v>
      </c>
      <c r="K14" s="11">
        <v>0.72499999999999998</v>
      </c>
      <c r="L14" s="11">
        <v>0.72499999999999998</v>
      </c>
      <c r="M14" s="9" t="s">
        <v>51</v>
      </c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  <c r="Y14" s="9"/>
      <c r="Z14" s="9"/>
      <c r="AA14" s="9"/>
      <c r="AB14" s="9"/>
      <c r="AC14" s="9"/>
      <c r="AD14" s="9"/>
      <c r="AE14" s="9"/>
      <c r="AF14" s="9"/>
      <c r="AG14" s="9"/>
      <c r="AH14" s="9"/>
      <c r="AI14" s="9"/>
    </row>
    <row r="15" spans="1:35">
      <c r="A15" s="9" t="s">
        <v>175</v>
      </c>
      <c r="B15" s="9" t="s">
        <v>176</v>
      </c>
      <c r="C15" s="11">
        <v>0</v>
      </c>
      <c r="D15" s="11">
        <v>0</v>
      </c>
      <c r="E15" s="11">
        <v>0</v>
      </c>
      <c r="F15" s="11">
        <v>0</v>
      </c>
      <c r="G15" s="11">
        <v>0</v>
      </c>
      <c r="H15" s="11">
        <v>0</v>
      </c>
      <c r="I15" s="11">
        <v>0</v>
      </c>
      <c r="J15" s="11">
        <v>0</v>
      </c>
      <c r="K15" s="11">
        <v>0</v>
      </c>
      <c r="L15" s="11">
        <v>0</v>
      </c>
      <c r="M15" s="9" t="s">
        <v>34</v>
      </c>
      <c r="N15" s="9"/>
      <c r="O15" s="9"/>
      <c r="P15" s="9"/>
      <c r="Q15" s="9"/>
      <c r="R15" s="9"/>
      <c r="S15" s="9"/>
      <c r="T15" s="9"/>
      <c r="U15" s="9"/>
      <c r="V15" s="9"/>
      <c r="W15" s="9"/>
      <c r="X15" s="9"/>
      <c r="Y15" s="9"/>
      <c r="Z15" s="9"/>
      <c r="AA15" s="9"/>
      <c r="AB15" s="9"/>
      <c r="AC15" s="9"/>
      <c r="AD15" s="9"/>
      <c r="AE15" s="9"/>
      <c r="AF15" s="9"/>
      <c r="AG15" s="9"/>
      <c r="AH15" s="9"/>
      <c r="AI15" s="9"/>
    </row>
    <row r="16" spans="1:35">
      <c r="A16" s="9" t="s">
        <v>177</v>
      </c>
      <c r="B16" s="9"/>
      <c r="C16" s="11" t="s">
        <v>178</v>
      </c>
      <c r="D16" s="11" t="s">
        <v>178</v>
      </c>
      <c r="E16" s="11" t="s">
        <v>178</v>
      </c>
      <c r="F16" s="11" t="s">
        <v>178</v>
      </c>
      <c r="G16" s="11" t="s">
        <v>178</v>
      </c>
      <c r="H16" s="11" t="s">
        <v>178</v>
      </c>
      <c r="I16" s="11" t="s">
        <v>178</v>
      </c>
      <c r="J16" s="11" t="s">
        <v>178</v>
      </c>
      <c r="K16" s="11" t="s">
        <v>178</v>
      </c>
      <c r="L16" s="11" t="s">
        <v>178</v>
      </c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  <c r="Y16" s="9"/>
      <c r="Z16" s="9"/>
      <c r="AA16" s="9"/>
      <c r="AB16" s="9"/>
      <c r="AC16" s="9"/>
      <c r="AD16" s="9"/>
      <c r="AE16" s="9"/>
      <c r="AF16" s="9"/>
      <c r="AG16" s="9"/>
      <c r="AH16" s="9"/>
      <c r="AI16" s="9"/>
    </row>
    <row r="17" spans="1:35">
      <c r="A17" s="9" t="s">
        <v>78</v>
      </c>
      <c r="B17" s="9" t="s">
        <v>79</v>
      </c>
      <c r="C17" s="12"/>
      <c r="D17" s="12">
        <v>0.32700000000000001</v>
      </c>
      <c r="E17" s="12">
        <v>0.41299999999999998</v>
      </c>
      <c r="F17" s="12">
        <v>0.33900000000000002</v>
      </c>
      <c r="G17" s="12">
        <v>0.32200000000000001</v>
      </c>
      <c r="H17" s="12">
        <v>0.378</v>
      </c>
      <c r="I17" s="12">
        <v>0.375</v>
      </c>
      <c r="J17" s="12">
        <v>0.39300000000000002</v>
      </c>
      <c r="K17" s="12">
        <v>0.34399999999999997</v>
      </c>
      <c r="L17" s="12">
        <v>0.29499999999999998</v>
      </c>
      <c r="M17" s="9"/>
      <c r="N17" s="9"/>
      <c r="O17" s="9"/>
      <c r="P17" s="9"/>
      <c r="Q17" s="9"/>
      <c r="R17" s="9"/>
      <c r="S17" s="9"/>
      <c r="T17" s="9"/>
      <c r="U17" s="9"/>
      <c r="V17" s="9"/>
      <c r="W17" s="9"/>
      <c r="X17" s="9"/>
      <c r="Y17" s="9"/>
      <c r="Z17" s="9"/>
      <c r="AA17" s="9"/>
      <c r="AB17" s="9"/>
      <c r="AC17" s="9"/>
      <c r="AD17" s="9"/>
      <c r="AE17" s="9"/>
      <c r="AF17" s="9"/>
      <c r="AG17" s="9"/>
      <c r="AH17" s="9"/>
      <c r="AI17" s="9"/>
    </row>
    <row r="18" spans="1:35">
      <c r="A18" s="9" t="s">
        <v>81</v>
      </c>
      <c r="B18" s="9" t="s">
        <v>82</v>
      </c>
      <c r="C18" s="12"/>
      <c r="D18" s="12">
        <v>0.378</v>
      </c>
      <c r="E18" s="27">
        <v>0.42</v>
      </c>
      <c r="F18" s="12">
        <v>0.40200000000000002</v>
      </c>
      <c r="G18" s="12">
        <v>0.32200000000000001</v>
      </c>
      <c r="H18" s="12">
        <v>0.38200000000000001</v>
      </c>
      <c r="I18" s="12">
        <v>0.375</v>
      </c>
      <c r="J18" s="12">
        <v>0.41099999999999998</v>
      </c>
      <c r="K18" s="12">
        <v>0.35299999999999998</v>
      </c>
      <c r="L18" s="12">
        <v>0.35899999999999999</v>
      </c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  <c r="X18" s="9"/>
      <c r="Y18" s="9"/>
      <c r="Z18" s="9"/>
      <c r="AA18" s="9"/>
      <c r="AB18" s="9"/>
      <c r="AC18" s="9"/>
      <c r="AD18" s="9"/>
      <c r="AE18" s="9"/>
      <c r="AF18" s="9"/>
      <c r="AG18" s="9"/>
      <c r="AH18" s="9"/>
      <c r="AI18" s="9"/>
    </row>
    <row r="19" spans="1:35">
      <c r="A19" s="9" t="s">
        <v>141</v>
      </c>
      <c r="B19" s="28" t="s">
        <v>142</v>
      </c>
      <c r="C19" s="29"/>
      <c r="D19" s="29" t="e">
        <f t="shared" ref="D19:L19" ca="1" si="2">D41*D44*D43*D46*(D5/D6)*(D53*D66/D17)</f>
        <v>#NAME?</v>
      </c>
      <c r="E19" s="29" t="e">
        <f t="shared" ca="1" si="2"/>
        <v>#NAME?</v>
      </c>
      <c r="F19" s="29" t="e">
        <f t="shared" ca="1" si="2"/>
        <v>#NAME?</v>
      </c>
      <c r="G19" s="29" t="e">
        <f t="shared" ca="1" si="2"/>
        <v>#NAME?</v>
      </c>
      <c r="H19" s="29" t="e">
        <f t="shared" ca="1" si="2"/>
        <v>#NAME?</v>
      </c>
      <c r="I19" s="29" t="e">
        <f t="shared" ca="1" si="2"/>
        <v>#NAME?</v>
      </c>
      <c r="J19" s="29" t="e">
        <f t="shared" ca="1" si="2"/>
        <v>#NAME?</v>
      </c>
      <c r="K19" s="29" t="e">
        <f t="shared" ca="1" si="2"/>
        <v>#NAME?</v>
      </c>
      <c r="L19" s="30" t="e">
        <f t="shared" ca="1" si="2"/>
        <v>#NAME?</v>
      </c>
      <c r="M19" s="9" t="s">
        <v>143</v>
      </c>
      <c r="N19" s="9"/>
      <c r="O19" s="9"/>
      <c r="P19" s="9"/>
      <c r="Q19" s="9"/>
      <c r="R19" s="9"/>
      <c r="S19" s="9"/>
      <c r="T19" s="9"/>
      <c r="U19" s="9"/>
      <c r="V19" s="9"/>
      <c r="W19" s="9"/>
      <c r="X19" s="9"/>
      <c r="Y19" s="9"/>
      <c r="Z19" s="9"/>
      <c r="AA19" s="9"/>
      <c r="AB19" s="9"/>
      <c r="AC19" s="9"/>
      <c r="AD19" s="9"/>
      <c r="AE19" s="9"/>
      <c r="AF19" s="9"/>
      <c r="AG19" s="9"/>
      <c r="AH19" s="9"/>
      <c r="AI19" s="9"/>
    </row>
    <row r="20" spans="1:35">
      <c r="A20" s="9" t="s">
        <v>144</v>
      </c>
      <c r="B20" s="9" t="s">
        <v>145</v>
      </c>
      <c r="C20" s="16"/>
      <c r="D20" s="16" t="e">
        <f t="shared" ref="D20:L20" ca="1" si="3">D41*D44*D43*D47*(D5/D6)*(D53*D66/D18)</f>
        <v>#NAME?</v>
      </c>
      <c r="E20" s="16" t="e">
        <f t="shared" ca="1" si="3"/>
        <v>#NAME?</v>
      </c>
      <c r="F20" s="16" t="e">
        <f t="shared" ca="1" si="3"/>
        <v>#NAME?</v>
      </c>
      <c r="G20" s="16" t="e">
        <f t="shared" ca="1" si="3"/>
        <v>#NAME?</v>
      </c>
      <c r="H20" s="16" t="e">
        <f t="shared" ca="1" si="3"/>
        <v>#NAME?</v>
      </c>
      <c r="I20" s="16" t="e">
        <f t="shared" ca="1" si="3"/>
        <v>#NAME?</v>
      </c>
      <c r="J20" s="16" t="e">
        <f t="shared" ca="1" si="3"/>
        <v>#NAME?</v>
      </c>
      <c r="K20" s="16" t="e">
        <f t="shared" ca="1" si="3"/>
        <v>#NAME?</v>
      </c>
      <c r="L20" s="31" t="e">
        <f t="shared" ca="1" si="3"/>
        <v>#NAME?</v>
      </c>
      <c r="M20" s="9" t="s">
        <v>143</v>
      </c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  <c r="Y20" s="9"/>
      <c r="Z20" s="9"/>
      <c r="AA20" s="9"/>
      <c r="AB20" s="9"/>
      <c r="AC20" s="9"/>
      <c r="AD20" s="9"/>
      <c r="AE20" s="9"/>
      <c r="AF20" s="9"/>
      <c r="AG20" s="9"/>
      <c r="AH20" s="9"/>
      <c r="AI20" s="9"/>
    </row>
    <row r="21" spans="1:35">
      <c r="A21" s="9" t="s">
        <v>146</v>
      </c>
      <c r="B21" s="9" t="s">
        <v>147</v>
      </c>
      <c r="C21" s="16"/>
      <c r="D21" s="16" t="e">
        <f t="shared" ref="D21:L21" ca="1" si="4">D30*SQRT(D41*D44*D43*D46*(D53/(D33*D6))*(D45/D42))</f>
        <v>#NAME?</v>
      </c>
      <c r="E21" s="16" t="e">
        <f t="shared" ca="1" si="4"/>
        <v>#NAME?</v>
      </c>
      <c r="F21" s="16" t="e">
        <f t="shared" ca="1" si="4"/>
        <v>#NAME?</v>
      </c>
      <c r="G21" s="16" t="e">
        <f t="shared" ca="1" si="4"/>
        <v>#NAME?</v>
      </c>
      <c r="H21" s="16" t="e">
        <f t="shared" ca="1" si="4"/>
        <v>#NAME?</v>
      </c>
      <c r="I21" s="16" t="e">
        <f t="shared" ca="1" si="4"/>
        <v>#NAME?</v>
      </c>
      <c r="J21" s="16" t="e">
        <f t="shared" ca="1" si="4"/>
        <v>#NAME?</v>
      </c>
      <c r="K21" s="16" t="e">
        <f t="shared" ca="1" si="4"/>
        <v>#NAME?</v>
      </c>
      <c r="L21" s="31" t="e">
        <f t="shared" ca="1" si="4"/>
        <v>#NAME?</v>
      </c>
      <c r="M21" s="9" t="s">
        <v>143</v>
      </c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  <c r="AA21" s="9"/>
      <c r="AB21" s="9"/>
      <c r="AC21" s="9"/>
      <c r="AD21" s="9"/>
      <c r="AE21" s="9"/>
      <c r="AF21" s="9"/>
      <c r="AG21" s="9"/>
      <c r="AH21" s="9"/>
      <c r="AI21" s="9"/>
    </row>
    <row r="22" spans="1:35">
      <c r="A22" s="9" t="s">
        <v>148</v>
      </c>
      <c r="B22" s="9" t="s">
        <v>149</v>
      </c>
      <c r="C22" s="16"/>
      <c r="D22" s="16" t="e">
        <f t="shared" ref="D22:L22" ca="1" si="5">D30*SQRT(D41*D44*D43*D47*(D53/(D33*D6))*(D45/D42))</f>
        <v>#NAME?</v>
      </c>
      <c r="E22" s="16" t="e">
        <f t="shared" ca="1" si="5"/>
        <v>#NAME?</v>
      </c>
      <c r="F22" s="16" t="e">
        <f t="shared" ca="1" si="5"/>
        <v>#NAME?</v>
      </c>
      <c r="G22" s="16" t="e">
        <f t="shared" ca="1" si="5"/>
        <v>#NAME?</v>
      </c>
      <c r="H22" s="16" t="e">
        <f t="shared" ca="1" si="5"/>
        <v>#NAME?</v>
      </c>
      <c r="I22" s="16" t="e">
        <f t="shared" ca="1" si="5"/>
        <v>#NAME?</v>
      </c>
      <c r="J22" s="16" t="e">
        <f t="shared" ca="1" si="5"/>
        <v>#NAME?</v>
      </c>
      <c r="K22" s="16" t="e">
        <f t="shared" ca="1" si="5"/>
        <v>#NAME?</v>
      </c>
      <c r="L22" s="31" t="e">
        <f t="shared" ca="1" si="5"/>
        <v>#NAME?</v>
      </c>
      <c r="M22" s="9" t="s">
        <v>143</v>
      </c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  <c r="AA22" s="9"/>
      <c r="AB22" s="9"/>
      <c r="AC22" s="9"/>
      <c r="AD22" s="9"/>
      <c r="AE22" s="9"/>
      <c r="AF22" s="9"/>
      <c r="AG22" s="9"/>
      <c r="AH22" s="9"/>
      <c r="AI22" s="9"/>
    </row>
    <row r="23" spans="1:35">
      <c r="A23" s="9" t="s">
        <v>150</v>
      </c>
      <c r="B23" s="9" t="s">
        <v>151</v>
      </c>
      <c r="C23" s="32"/>
      <c r="D23" s="32" t="e">
        <f t="shared" ref="D23:L23" ca="1" si="6">D56*D59/(D65*D64*D19)</f>
        <v>#NAME?</v>
      </c>
      <c r="E23" s="32" t="e">
        <f t="shared" ca="1" si="6"/>
        <v>#NAME?</v>
      </c>
      <c r="F23" s="32" t="e">
        <f t="shared" ca="1" si="6"/>
        <v>#NAME?</v>
      </c>
      <c r="G23" s="32" t="e">
        <f t="shared" ca="1" si="6"/>
        <v>#NAME?</v>
      </c>
      <c r="H23" s="32" t="e">
        <f t="shared" ca="1" si="6"/>
        <v>#NAME?</v>
      </c>
      <c r="I23" s="32" t="e">
        <f t="shared" ca="1" si="6"/>
        <v>#NAME?</v>
      </c>
      <c r="J23" s="32" t="e">
        <f t="shared" ca="1" si="6"/>
        <v>#NAME?</v>
      </c>
      <c r="K23" s="32" t="e">
        <f t="shared" ca="1" si="6"/>
        <v>#NAME?</v>
      </c>
      <c r="L23" s="33" t="e">
        <f t="shared" ca="1" si="6"/>
        <v>#NAME?</v>
      </c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  <c r="AA23" s="9"/>
      <c r="AB23" s="9"/>
      <c r="AC23" s="9"/>
      <c r="AD23" s="9"/>
      <c r="AE23" s="9"/>
      <c r="AF23" s="9"/>
      <c r="AG23" s="9"/>
      <c r="AH23" s="9"/>
      <c r="AI23" s="9"/>
    </row>
    <row r="24" spans="1:35">
      <c r="A24" s="9" t="s">
        <v>152</v>
      </c>
      <c r="B24" s="9" t="s">
        <v>153</v>
      </c>
      <c r="C24" s="32"/>
      <c r="D24" s="32" t="e">
        <f t="shared" ref="D24:L24" ca="1" si="7">D56*D60/(D65*D64*D20)</f>
        <v>#NAME?</v>
      </c>
      <c r="E24" s="32" t="e">
        <f t="shared" ca="1" si="7"/>
        <v>#NAME?</v>
      </c>
      <c r="F24" s="32" t="e">
        <f t="shared" ca="1" si="7"/>
        <v>#NAME?</v>
      </c>
      <c r="G24" s="32" t="e">
        <f t="shared" ca="1" si="7"/>
        <v>#NAME?</v>
      </c>
      <c r="H24" s="32" t="e">
        <f t="shared" ca="1" si="7"/>
        <v>#NAME?</v>
      </c>
      <c r="I24" s="32" t="e">
        <f t="shared" ca="1" si="7"/>
        <v>#NAME?</v>
      </c>
      <c r="J24" s="32" t="e">
        <f t="shared" ca="1" si="7"/>
        <v>#NAME?</v>
      </c>
      <c r="K24" s="32" t="e">
        <f t="shared" ca="1" si="7"/>
        <v>#NAME?</v>
      </c>
      <c r="L24" s="33" t="e">
        <f t="shared" ca="1" si="7"/>
        <v>#NAME?</v>
      </c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  <c r="AA24" s="9"/>
      <c r="AB24" s="9"/>
      <c r="AC24" s="9"/>
      <c r="AD24" s="9"/>
      <c r="AE24" s="9"/>
      <c r="AF24" s="9"/>
      <c r="AG24" s="9"/>
      <c r="AH24" s="9"/>
      <c r="AI24" s="9"/>
    </row>
    <row r="25" spans="1:35">
      <c r="A25" s="9" t="s">
        <v>154</v>
      </c>
      <c r="B25" s="9" t="s">
        <v>155</v>
      </c>
      <c r="C25" s="32"/>
      <c r="D25" s="32" t="e">
        <f t="shared" ref="D25:L25" ca="1" si="8">D57*D61*D54/(D65*D64*D21)</f>
        <v>#NAME?</v>
      </c>
      <c r="E25" s="32" t="e">
        <f t="shared" ca="1" si="8"/>
        <v>#NAME?</v>
      </c>
      <c r="F25" s="32" t="e">
        <f t="shared" ca="1" si="8"/>
        <v>#NAME?</v>
      </c>
      <c r="G25" s="32" t="e">
        <f t="shared" ca="1" si="8"/>
        <v>#NAME?</v>
      </c>
      <c r="H25" s="32" t="e">
        <f t="shared" ca="1" si="8"/>
        <v>#NAME?</v>
      </c>
      <c r="I25" s="32" t="e">
        <f t="shared" ca="1" si="8"/>
        <v>#NAME?</v>
      </c>
      <c r="J25" s="32" t="e">
        <f t="shared" ca="1" si="8"/>
        <v>#NAME?</v>
      </c>
      <c r="K25" s="32" t="e">
        <f t="shared" ca="1" si="8"/>
        <v>#NAME?</v>
      </c>
      <c r="L25" s="33" t="e">
        <f t="shared" ca="1" si="8"/>
        <v>#NAME?</v>
      </c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  <c r="AA25" s="9"/>
      <c r="AB25" s="9"/>
      <c r="AC25" s="9"/>
      <c r="AD25" s="9"/>
      <c r="AE25" s="9"/>
      <c r="AF25" s="9"/>
      <c r="AG25" s="9"/>
      <c r="AH25" s="9"/>
      <c r="AI25" s="9"/>
    </row>
    <row r="26" spans="1:35">
      <c r="A26" s="9" t="s">
        <v>156</v>
      </c>
      <c r="B26" s="34" t="s">
        <v>157</v>
      </c>
      <c r="C26" s="35"/>
      <c r="D26" s="35" t="e">
        <f t="shared" ref="D26:L26" ca="1" si="9">D57*D62*D55/(D65*D64*D22)</f>
        <v>#NAME?</v>
      </c>
      <c r="E26" s="35" t="e">
        <f t="shared" ca="1" si="9"/>
        <v>#NAME?</v>
      </c>
      <c r="F26" s="35" t="e">
        <f t="shared" ca="1" si="9"/>
        <v>#NAME?</v>
      </c>
      <c r="G26" s="35" t="e">
        <f t="shared" ca="1" si="9"/>
        <v>#NAME?</v>
      </c>
      <c r="H26" s="35" t="e">
        <f t="shared" ca="1" si="9"/>
        <v>#NAME?</v>
      </c>
      <c r="I26" s="35" t="e">
        <f t="shared" ca="1" si="9"/>
        <v>#NAME?</v>
      </c>
      <c r="J26" s="35" t="e">
        <f t="shared" ca="1" si="9"/>
        <v>#NAME?</v>
      </c>
      <c r="K26" s="35" t="e">
        <f t="shared" ca="1" si="9"/>
        <v>#NAME?</v>
      </c>
      <c r="L26" s="36" t="e">
        <f t="shared" ca="1" si="9"/>
        <v>#NAME?</v>
      </c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  <c r="AA26" s="9"/>
      <c r="AB26" s="9"/>
      <c r="AC26" s="9"/>
      <c r="AD26" s="9"/>
      <c r="AE26" s="9"/>
      <c r="AF26" s="9"/>
      <c r="AG26" s="9"/>
      <c r="AH26" s="9"/>
      <c r="AI26" s="9"/>
    </row>
    <row r="27" spans="1:35">
      <c r="A27" s="9" t="s">
        <v>32</v>
      </c>
      <c r="B27" s="9" t="s">
        <v>33</v>
      </c>
      <c r="C27" s="10"/>
      <c r="D27" s="10">
        <v>20</v>
      </c>
      <c r="E27" s="10">
        <v>20</v>
      </c>
      <c r="F27" s="10">
        <v>20</v>
      </c>
      <c r="G27" s="10">
        <v>20</v>
      </c>
      <c r="H27" s="10">
        <v>20</v>
      </c>
      <c r="I27" s="10">
        <v>20</v>
      </c>
      <c r="J27" s="10">
        <v>20</v>
      </c>
      <c r="K27" s="10">
        <v>20</v>
      </c>
      <c r="L27" s="10">
        <v>20</v>
      </c>
      <c r="M27" s="9" t="s">
        <v>34</v>
      </c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  <c r="AA27" s="9"/>
      <c r="AB27" s="9"/>
      <c r="AC27" s="9"/>
      <c r="AD27" s="9"/>
      <c r="AE27" s="9"/>
      <c r="AF27" s="9"/>
      <c r="AG27" s="9"/>
      <c r="AH27" s="9"/>
      <c r="AI27" s="9"/>
    </row>
    <row r="28" spans="1:35">
      <c r="A28" s="9" t="s">
        <v>179</v>
      </c>
      <c r="B28" s="9" t="s">
        <v>47</v>
      </c>
      <c r="C28" s="10"/>
      <c r="D28" s="10">
        <v>10</v>
      </c>
      <c r="E28" s="10">
        <v>10</v>
      </c>
      <c r="F28" s="10">
        <v>10</v>
      </c>
      <c r="G28" s="10">
        <v>10</v>
      </c>
      <c r="H28" s="10">
        <v>10</v>
      </c>
      <c r="I28" s="10">
        <v>10</v>
      </c>
      <c r="J28" s="10">
        <v>10</v>
      </c>
      <c r="K28" s="10">
        <v>10</v>
      </c>
      <c r="L28" s="10">
        <v>10</v>
      </c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  <c r="AA28" s="9"/>
      <c r="AB28" s="9"/>
      <c r="AC28" s="9"/>
      <c r="AD28" s="9"/>
      <c r="AE28" s="9"/>
      <c r="AF28" s="9"/>
      <c r="AG28" s="9"/>
      <c r="AH28" s="9"/>
      <c r="AI28" s="9"/>
    </row>
    <row r="29" spans="1:35">
      <c r="A29" s="16" t="s">
        <v>180</v>
      </c>
      <c r="B29" s="16" t="s">
        <v>66</v>
      </c>
      <c r="C29" s="16"/>
      <c r="D29" s="16">
        <f t="shared" ref="D29:L29" si="10">D7/D40</f>
        <v>5297.2972972972966</v>
      </c>
      <c r="E29" s="16">
        <f t="shared" si="10"/>
        <v>3500</v>
      </c>
      <c r="F29" s="16">
        <f t="shared" si="10"/>
        <v>3500.0000000000005</v>
      </c>
      <c r="G29" s="16">
        <f t="shared" si="10"/>
        <v>8500</v>
      </c>
      <c r="H29" s="16">
        <f t="shared" si="10"/>
        <v>9800</v>
      </c>
      <c r="I29" s="16">
        <f t="shared" si="10"/>
        <v>10412.5</v>
      </c>
      <c r="J29" s="16">
        <f t="shared" si="10"/>
        <v>6800</v>
      </c>
      <c r="K29" s="16">
        <f t="shared" si="10"/>
        <v>6800</v>
      </c>
      <c r="L29" s="16">
        <f t="shared" si="10"/>
        <v>7650</v>
      </c>
      <c r="M29" s="16" t="s">
        <v>55</v>
      </c>
      <c r="N29" s="16"/>
      <c r="O29" s="16"/>
      <c r="P29" s="16"/>
      <c r="Q29" s="16"/>
      <c r="R29" s="16"/>
      <c r="S29" s="16"/>
      <c r="T29" s="16"/>
      <c r="U29" s="16"/>
      <c r="V29" s="16"/>
      <c r="W29" s="16"/>
      <c r="X29" s="16"/>
      <c r="Y29" s="16"/>
      <c r="Z29" s="16"/>
      <c r="AA29" s="16"/>
      <c r="AB29" s="16"/>
      <c r="AC29" s="16"/>
      <c r="AD29" s="16"/>
      <c r="AE29" s="16"/>
      <c r="AF29" s="16"/>
      <c r="AG29" s="16"/>
      <c r="AH29" s="16"/>
      <c r="AI29" s="16"/>
    </row>
    <row r="30" spans="1:35">
      <c r="A30" s="9" t="s">
        <v>85</v>
      </c>
      <c r="B30" s="9" t="s">
        <v>86</v>
      </c>
      <c r="C30" s="9"/>
      <c r="D30" s="9">
        <f>VLOOKUP(D9,Tables!$A3:$H9,MATCH(D10,Tables!$A3:$H3,0),0)</f>
        <v>2300</v>
      </c>
      <c r="E30" s="9">
        <f>VLOOKUP(E9,Tables!$A3:$H9,MATCH(E10,Tables!$A3:$H3,0),0)</f>
        <v>2300</v>
      </c>
      <c r="F30" s="9">
        <f>VLOOKUP(F9,Tables!$A3:$H9,MATCH(F10,Tables!$A3:$H3,0),0)</f>
        <v>2300</v>
      </c>
      <c r="G30" s="9">
        <f>VLOOKUP(G9,Tables!$A3:$H9,MATCH(G10,Tables!$A3:$H3,0),0)</f>
        <v>2300</v>
      </c>
      <c r="H30" s="9">
        <f>VLOOKUP(H9,Tables!$A3:$H9,MATCH(H10,Tables!$A3:$H3,0),0)</f>
        <v>2300</v>
      </c>
      <c r="I30" s="9">
        <f>VLOOKUP(I9,Tables!$A3:$H9,MATCH(I10,Tables!$A3:$H3,0),0)</f>
        <v>2300</v>
      </c>
      <c r="J30" s="9">
        <f>VLOOKUP(J9,Tables!$A3:$H9,MATCH(J10,Tables!$A3:$H3,0),0)</f>
        <v>2300</v>
      </c>
      <c r="K30" s="9">
        <f>VLOOKUP(K9,Tables!$A3:$H9,MATCH(K10,Tables!$A3:$H3,0),0)</f>
        <v>2300</v>
      </c>
      <c r="L30" s="9">
        <f>VLOOKUP(L9,Tables!$A3:$H9,MATCH(L10,Tables!$A3:$H3,0),0)</f>
        <v>2300</v>
      </c>
      <c r="M30" s="9" t="s">
        <v>87</v>
      </c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  <c r="AA30" s="9"/>
      <c r="AB30" s="9"/>
      <c r="AC30" s="9"/>
      <c r="AD30" s="9"/>
      <c r="AE30" s="9"/>
      <c r="AF30" s="9"/>
      <c r="AG30" s="9"/>
      <c r="AH30" s="9"/>
      <c r="AI30" s="9"/>
    </row>
    <row r="31" spans="1:35">
      <c r="A31" s="9" t="s">
        <v>94</v>
      </c>
      <c r="B31" s="9" t="s">
        <v>95</v>
      </c>
      <c r="C31" s="13"/>
      <c r="D31" s="13">
        <f>VLOOKUP(D3,Tables!$M4:$N75,2,FALSE)</f>
        <v>0.32200000000000001</v>
      </c>
      <c r="E31" s="13">
        <f>VLOOKUP(E3,Tables!$M4:$N75,2,FALSE)</f>
        <v>0.39375000000000004</v>
      </c>
      <c r="F31" s="13">
        <f>VLOOKUP(F3,Tables!$M4:$N75,2,FALSE)</f>
        <v>0.32800000000000001</v>
      </c>
      <c r="G31" s="13">
        <f>VLOOKUP(G3,Tables!$M4:$N75,2,FALSE)</f>
        <v>0.32800000000000001</v>
      </c>
      <c r="H31" s="13">
        <f>VLOOKUP(H3,Tables!$M4:$N75,2,FALSE)</f>
        <v>0.3775</v>
      </c>
      <c r="I31" s="13">
        <f>VLOOKUP(I3,Tables!$M4:$N75,2,FALSE)</f>
        <v>0.3775</v>
      </c>
      <c r="J31" s="13">
        <f>VLOOKUP(J3,Tables!$M4:$N75,2,FALSE)</f>
        <v>0.3775</v>
      </c>
      <c r="K31" s="13">
        <f>VLOOKUP(K3,Tables!$M4:$N75,2,FALSE)</f>
        <v>0.34599999999999997</v>
      </c>
      <c r="L31" s="13">
        <f>VLOOKUP(L3,Tables!$M4:$N75,2,FALSE)</f>
        <v>0.30299999999999999</v>
      </c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</row>
    <row r="32" spans="1:35">
      <c r="A32" s="9" t="s">
        <v>96</v>
      </c>
      <c r="B32" s="9" t="s">
        <v>97</v>
      </c>
      <c r="C32" s="13"/>
      <c r="D32" s="13">
        <f>VLOOKUP(D4,Tables!$M4:$N75,2,FALSE)</f>
        <v>0.39375000000000004</v>
      </c>
      <c r="E32" s="13">
        <f>VLOOKUP(E4,Tables!$M4:$N75,2,FALSE)</f>
        <v>0.42980000000000013</v>
      </c>
      <c r="F32" s="13">
        <f>VLOOKUP(F4,Tables!$M4:$N75,2,FALSE)</f>
        <v>0.42330000000000001</v>
      </c>
      <c r="G32" s="13">
        <f>VLOOKUP(G4,Tables!$M4:$N75,2,FALSE)</f>
        <v>0.32800000000000001</v>
      </c>
      <c r="H32" s="13">
        <f>VLOOKUP(H4,Tables!$M4:$N75,2,FALSE)</f>
        <v>0.38400000000000001</v>
      </c>
      <c r="I32" s="13">
        <f>VLOOKUP(I4,Tables!$M4:$N75,2,FALSE)</f>
        <v>0.3775</v>
      </c>
      <c r="J32" s="13">
        <f>VLOOKUP(J4,Tables!$M4:$N75,2,FALSE)</f>
        <v>0.42014285714285698</v>
      </c>
      <c r="K32" s="13">
        <f>VLOOKUP(K4,Tables!$M4:$N75,2,FALSE)</f>
        <v>0.35599999999999998</v>
      </c>
      <c r="L32" s="13">
        <f>VLOOKUP(L4,Tables!$M4:$N75,2,FALSE)</f>
        <v>0.37424999999999997</v>
      </c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  <c r="AA32" s="9"/>
      <c r="AB32" s="9"/>
      <c r="AC32" s="9"/>
      <c r="AD32" s="9"/>
      <c r="AE32" s="9"/>
      <c r="AF32" s="9"/>
      <c r="AG32" s="9"/>
      <c r="AH32" s="9"/>
      <c r="AI32" s="9"/>
    </row>
    <row r="33" spans="1:35">
      <c r="A33" s="9" t="s">
        <v>56</v>
      </c>
      <c r="B33" s="9" t="s">
        <v>57</v>
      </c>
      <c r="C33" s="13"/>
      <c r="D33" s="13">
        <f t="shared" ref="D33:L33" si="11">D3/D5</f>
        <v>1.6666666666666667</v>
      </c>
      <c r="E33" s="13">
        <f t="shared" si="11"/>
        <v>3.0833333333333335</v>
      </c>
      <c r="F33" s="13">
        <f t="shared" si="11"/>
        <v>1.75</v>
      </c>
      <c r="G33" s="13">
        <f t="shared" si="11"/>
        <v>1.75</v>
      </c>
      <c r="H33" s="13">
        <f t="shared" si="11"/>
        <v>2.6666666666666665</v>
      </c>
      <c r="I33" s="13">
        <f t="shared" si="11"/>
        <v>2.6666666666666665</v>
      </c>
      <c r="J33" s="13">
        <f t="shared" si="11"/>
        <v>2.6666666666666665</v>
      </c>
      <c r="K33" s="13">
        <f t="shared" si="11"/>
        <v>3</v>
      </c>
      <c r="L33" s="13">
        <f t="shared" si="11"/>
        <v>1.7</v>
      </c>
      <c r="M33" s="9" t="s">
        <v>51</v>
      </c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  <c r="AA33" s="9"/>
      <c r="AB33" s="9"/>
      <c r="AC33" s="9"/>
      <c r="AD33" s="9"/>
      <c r="AE33" s="9"/>
      <c r="AF33" s="9"/>
      <c r="AG33" s="9"/>
      <c r="AH33" s="9"/>
      <c r="AI33" s="9"/>
    </row>
    <row r="34" spans="1:35">
      <c r="A34" s="9" t="s">
        <v>58</v>
      </c>
      <c r="B34" s="9" t="s">
        <v>59</v>
      </c>
      <c r="C34" s="13"/>
      <c r="D34" s="13">
        <f t="shared" ref="D34:L34" si="12">D4/D5</f>
        <v>3.0833333333333335</v>
      </c>
      <c r="E34" s="13">
        <f t="shared" si="12"/>
        <v>4.666666666666667</v>
      </c>
      <c r="F34" s="13">
        <f t="shared" si="12"/>
        <v>4.25</v>
      </c>
      <c r="G34" s="13">
        <f t="shared" si="12"/>
        <v>1.75</v>
      </c>
      <c r="H34" s="13">
        <f t="shared" si="12"/>
        <v>2.8333333333333335</v>
      </c>
      <c r="I34" s="13">
        <f t="shared" si="12"/>
        <v>2.6666666666666665</v>
      </c>
      <c r="J34" s="13">
        <f t="shared" si="12"/>
        <v>4.083333333333333</v>
      </c>
      <c r="K34" s="13">
        <f t="shared" si="12"/>
        <v>3.375</v>
      </c>
      <c r="L34" s="13">
        <f t="shared" si="12"/>
        <v>3.1</v>
      </c>
      <c r="M34" s="9" t="s">
        <v>51</v>
      </c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  <c r="AA34" s="9"/>
      <c r="AB34" s="9"/>
      <c r="AC34" s="9"/>
      <c r="AD34" s="9"/>
      <c r="AE34" s="9"/>
      <c r="AF34" s="9"/>
      <c r="AG34" s="9"/>
      <c r="AH34" s="9"/>
      <c r="AI34" s="9"/>
    </row>
    <row r="35" spans="1:35">
      <c r="A35" s="9" t="s">
        <v>181</v>
      </c>
      <c r="B35" s="9" t="s">
        <v>182</v>
      </c>
      <c r="C35" s="13"/>
      <c r="D35" s="13">
        <f t="shared" ref="D35:L35" si="13">D33+2/D5</f>
        <v>1.8333333333333335</v>
      </c>
      <c r="E35" s="13">
        <f t="shared" si="13"/>
        <v>3.25</v>
      </c>
      <c r="F35" s="13">
        <f t="shared" si="13"/>
        <v>1.9166666666666667</v>
      </c>
      <c r="G35" s="13">
        <f t="shared" si="13"/>
        <v>1.9166666666666667</v>
      </c>
      <c r="H35" s="13">
        <f t="shared" si="13"/>
        <v>2.833333333333333</v>
      </c>
      <c r="I35" s="13">
        <f t="shared" si="13"/>
        <v>2.833333333333333</v>
      </c>
      <c r="J35" s="13">
        <f t="shared" si="13"/>
        <v>2.833333333333333</v>
      </c>
      <c r="K35" s="13">
        <f t="shared" si="13"/>
        <v>3.25</v>
      </c>
      <c r="L35" s="13">
        <f t="shared" si="13"/>
        <v>1.9</v>
      </c>
      <c r="M35" s="9" t="s">
        <v>51</v>
      </c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  <c r="AA35" s="9"/>
      <c r="AB35" s="9"/>
      <c r="AC35" s="9"/>
      <c r="AD35" s="9"/>
      <c r="AE35" s="9"/>
      <c r="AF35" s="9"/>
      <c r="AG35" s="9"/>
      <c r="AH35" s="9"/>
      <c r="AI35" s="9"/>
    </row>
    <row r="36" spans="1:35">
      <c r="A36" s="9" t="s">
        <v>183</v>
      </c>
      <c r="B36" s="9" t="s">
        <v>184</v>
      </c>
      <c r="C36" s="13"/>
      <c r="D36" s="13">
        <f t="shared" ref="D36:L36" si="14">D34+2/D5</f>
        <v>3.25</v>
      </c>
      <c r="E36" s="13">
        <f t="shared" si="14"/>
        <v>4.8333333333333339</v>
      </c>
      <c r="F36" s="13">
        <f t="shared" si="14"/>
        <v>4.416666666666667</v>
      </c>
      <c r="G36" s="13">
        <f t="shared" si="14"/>
        <v>1.9166666666666667</v>
      </c>
      <c r="H36" s="13">
        <f t="shared" si="14"/>
        <v>3</v>
      </c>
      <c r="I36" s="13">
        <f t="shared" si="14"/>
        <v>2.833333333333333</v>
      </c>
      <c r="J36" s="13">
        <f t="shared" si="14"/>
        <v>4.25</v>
      </c>
      <c r="K36" s="13">
        <f t="shared" si="14"/>
        <v>3.625</v>
      </c>
      <c r="L36" s="13">
        <f t="shared" si="14"/>
        <v>3.3000000000000003</v>
      </c>
      <c r="M36" s="9" t="s">
        <v>51</v>
      </c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  <c r="AA36" s="9"/>
      <c r="AB36" s="9"/>
      <c r="AC36" s="9"/>
      <c r="AD36" s="9"/>
      <c r="AE36" s="9"/>
      <c r="AF36" s="9"/>
      <c r="AG36" s="9"/>
      <c r="AH36" s="9"/>
      <c r="AI36" s="9"/>
    </row>
    <row r="37" spans="1:35">
      <c r="A37" s="9" t="s">
        <v>185</v>
      </c>
      <c r="B37" s="9"/>
      <c r="C37" s="13"/>
      <c r="D37" s="13">
        <f t="shared" ref="D37:L37" si="15">D33-2*1.35/D5</f>
        <v>1.4416666666666667</v>
      </c>
      <c r="E37" s="13">
        <f t="shared" si="15"/>
        <v>2.8583333333333334</v>
      </c>
      <c r="F37" s="13">
        <f t="shared" si="15"/>
        <v>1.5249999999999999</v>
      </c>
      <c r="G37" s="13">
        <f t="shared" si="15"/>
        <v>1.5249999999999999</v>
      </c>
      <c r="H37" s="13">
        <f t="shared" si="15"/>
        <v>2.4416666666666664</v>
      </c>
      <c r="I37" s="13">
        <f t="shared" si="15"/>
        <v>2.4416666666666664</v>
      </c>
      <c r="J37" s="13">
        <f t="shared" si="15"/>
        <v>2.4416666666666664</v>
      </c>
      <c r="K37" s="13">
        <f t="shared" si="15"/>
        <v>2.6625000000000001</v>
      </c>
      <c r="L37" s="13">
        <f t="shared" si="15"/>
        <v>1.43</v>
      </c>
      <c r="M37" s="9" t="s">
        <v>51</v>
      </c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</row>
    <row r="38" spans="1:35">
      <c r="A38" s="9" t="s">
        <v>186</v>
      </c>
      <c r="B38" s="9"/>
      <c r="C38" s="13"/>
      <c r="D38" s="13">
        <f t="shared" ref="D38:L38" si="16">D34-2*1.35/D5</f>
        <v>2.8583333333333334</v>
      </c>
      <c r="E38" s="13">
        <f t="shared" si="16"/>
        <v>4.4416666666666673</v>
      </c>
      <c r="F38" s="13">
        <f t="shared" si="16"/>
        <v>4.0250000000000004</v>
      </c>
      <c r="G38" s="13">
        <f t="shared" si="16"/>
        <v>1.5249999999999999</v>
      </c>
      <c r="H38" s="13">
        <f t="shared" si="16"/>
        <v>2.6083333333333334</v>
      </c>
      <c r="I38" s="13">
        <f t="shared" si="16"/>
        <v>2.4416666666666664</v>
      </c>
      <c r="J38" s="13">
        <f t="shared" si="16"/>
        <v>3.8583333333333329</v>
      </c>
      <c r="K38" s="13">
        <f t="shared" si="16"/>
        <v>3.0375000000000001</v>
      </c>
      <c r="L38" s="13">
        <f t="shared" si="16"/>
        <v>2.83</v>
      </c>
      <c r="M38" s="9" t="s">
        <v>51</v>
      </c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  <c r="AA38" s="9"/>
      <c r="AB38" s="9"/>
      <c r="AC38" s="9"/>
      <c r="AD38" s="9"/>
      <c r="AE38" s="9"/>
      <c r="AF38" s="9"/>
      <c r="AG38" s="9"/>
      <c r="AH38" s="9"/>
      <c r="AI38" s="9"/>
    </row>
    <row r="39" spans="1:35">
      <c r="A39" s="9" t="s">
        <v>60</v>
      </c>
      <c r="B39" s="9" t="s">
        <v>61</v>
      </c>
      <c r="C39" s="13"/>
      <c r="D39" s="13">
        <f t="shared" ref="D39:L39" si="17">PI()*D33*D7/12</f>
        <v>4276.0566673861076</v>
      </c>
      <c r="E39" s="13">
        <f t="shared" si="17"/>
        <v>4276.0566673861076</v>
      </c>
      <c r="F39" s="13">
        <f t="shared" si="17"/>
        <v>3894.2658935123477</v>
      </c>
      <c r="G39" s="13">
        <f t="shared" si="17"/>
        <v>3894.2658935123477</v>
      </c>
      <c r="H39" s="13">
        <f t="shared" si="17"/>
        <v>7269.2963345563812</v>
      </c>
      <c r="I39" s="13">
        <f t="shared" si="17"/>
        <v>7269.2963345563812</v>
      </c>
      <c r="J39" s="13">
        <f t="shared" si="17"/>
        <v>7269.2963345563812</v>
      </c>
      <c r="K39" s="13">
        <f t="shared" si="17"/>
        <v>6008.2959499904791</v>
      </c>
      <c r="L39" s="13">
        <f t="shared" si="17"/>
        <v>6208.572481656829</v>
      </c>
      <c r="M39" s="9" t="s">
        <v>187</v>
      </c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  <c r="AA39" s="9"/>
      <c r="AB39" s="9"/>
      <c r="AC39" s="9"/>
      <c r="AD39" s="9"/>
      <c r="AE39" s="9"/>
      <c r="AF39" s="9"/>
      <c r="AG39" s="9"/>
      <c r="AH39" s="9"/>
      <c r="AI39" s="9"/>
    </row>
    <row r="40" spans="1:35">
      <c r="A40" s="9" t="s">
        <v>63</v>
      </c>
      <c r="B40" s="9" t="s">
        <v>64</v>
      </c>
      <c r="C40" s="13"/>
      <c r="D40" s="13">
        <f t="shared" ref="D40:L40" si="18">D4/D3</f>
        <v>1.85</v>
      </c>
      <c r="E40" s="13">
        <f t="shared" si="18"/>
        <v>1.5135135135135136</v>
      </c>
      <c r="F40" s="13">
        <f t="shared" si="18"/>
        <v>2.4285714285714284</v>
      </c>
      <c r="G40" s="13">
        <f t="shared" si="18"/>
        <v>1</v>
      </c>
      <c r="H40" s="13">
        <f t="shared" si="18"/>
        <v>1.0625</v>
      </c>
      <c r="I40" s="13">
        <f t="shared" si="18"/>
        <v>1</v>
      </c>
      <c r="J40" s="13">
        <f t="shared" si="18"/>
        <v>1.53125</v>
      </c>
      <c r="K40" s="13">
        <f t="shared" si="18"/>
        <v>1.125</v>
      </c>
      <c r="L40" s="13">
        <f t="shared" si="18"/>
        <v>1.8235294117647058</v>
      </c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  <c r="AA40" s="9"/>
      <c r="AB40" s="9"/>
      <c r="AC40" s="9"/>
      <c r="AD40" s="9"/>
      <c r="AE40" s="9"/>
      <c r="AF40" s="9"/>
      <c r="AG40" s="9"/>
      <c r="AH40" s="9"/>
      <c r="AI40" s="9"/>
    </row>
    <row r="41" spans="1:35">
      <c r="A41" s="9" t="s">
        <v>75</v>
      </c>
      <c r="B41" s="9" t="s">
        <v>76</v>
      </c>
      <c r="C41" s="13"/>
      <c r="D41" s="13">
        <f t="shared" ref="D41:L41" si="19">33000*D8/D39</f>
        <v>578.77062958402655</v>
      </c>
      <c r="E41" s="13">
        <f t="shared" si="19"/>
        <v>578.77062958402655</v>
      </c>
      <c r="F41" s="13">
        <f t="shared" si="19"/>
        <v>84.686194605067655</v>
      </c>
      <c r="G41" s="13">
        <f t="shared" si="19"/>
        <v>84.686194605067655</v>
      </c>
      <c r="H41" s="13">
        <f t="shared" si="19"/>
        <v>340.7169384654232</v>
      </c>
      <c r="I41" s="13">
        <f t="shared" si="19"/>
        <v>340.7169384654232</v>
      </c>
      <c r="J41" s="13">
        <f t="shared" si="19"/>
        <v>340.7169384654232</v>
      </c>
      <c r="K41" s="13">
        <f t="shared" si="19"/>
        <v>54.949331266991187</v>
      </c>
      <c r="L41" s="13">
        <f t="shared" si="19"/>
        <v>53.176772193862433</v>
      </c>
      <c r="M41" s="9" t="s">
        <v>77</v>
      </c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  <c r="AA41" s="9"/>
      <c r="AB41" s="9"/>
      <c r="AC41" s="9"/>
      <c r="AD41" s="9"/>
      <c r="AE41" s="9"/>
      <c r="AF41" s="9"/>
      <c r="AG41" s="9"/>
      <c r="AH41" s="9"/>
      <c r="AI41" s="9"/>
    </row>
    <row r="42" spans="1:35">
      <c r="A42" s="9" t="s">
        <v>83</v>
      </c>
      <c r="B42" s="9" t="s">
        <v>84</v>
      </c>
      <c r="C42" s="13"/>
      <c r="D42" s="13">
        <f t="shared" ref="D42:L42" si="20">(COS(RADIANS(D27))*SIN(RADIANS(D27))*D40)/(2*1*(D40+1))</f>
        <v>0.10431202437895595</v>
      </c>
      <c r="E42" s="13">
        <f t="shared" si="20"/>
        <v>9.6763726189371513E-2</v>
      </c>
      <c r="F42" s="13">
        <f t="shared" si="20"/>
        <v>0.11382697254865801</v>
      </c>
      <c r="G42" s="13">
        <f t="shared" si="20"/>
        <v>8.034845121081742E-2</v>
      </c>
      <c r="H42" s="13">
        <f t="shared" si="20"/>
        <v>8.2783252762660381E-2</v>
      </c>
      <c r="I42" s="13">
        <f t="shared" si="20"/>
        <v>8.034845121081742E-2</v>
      </c>
      <c r="J42" s="13">
        <f t="shared" si="20"/>
        <v>9.7211706403211195E-2</v>
      </c>
      <c r="K42" s="13">
        <f t="shared" si="20"/>
        <v>8.5074830693806683E-2</v>
      </c>
      <c r="L42" s="13">
        <f t="shared" si="20"/>
        <v>0.10378341614730584</v>
      </c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  <c r="AA42" s="9"/>
      <c r="AB42" s="9"/>
      <c r="AC42" s="9"/>
      <c r="AD42" s="9"/>
      <c r="AE42" s="9"/>
      <c r="AF42" s="9"/>
      <c r="AG42" s="9"/>
      <c r="AH42" s="9"/>
      <c r="AI42" s="9"/>
    </row>
    <row r="43" spans="1:35">
      <c r="A43" s="9" t="s">
        <v>88</v>
      </c>
      <c r="B43" s="9" t="s">
        <v>89</v>
      </c>
      <c r="C43" s="13"/>
      <c r="D43" s="13">
        <f t="shared" ref="D43:L43" si="21">(((50+56*(1-0.25*(12-D28)^(2/3)))+SQRT(D39))/(50+56*(1-0.25*(12-D28)^(2/3))))^(0.25*(12-D28)^(2/3))</f>
        <v>1.257281084915967</v>
      </c>
      <c r="E43" s="13">
        <f t="shared" si="21"/>
        <v>1.257281084915967</v>
      </c>
      <c r="F43" s="13">
        <f t="shared" si="21"/>
        <v>1.2472271405619699</v>
      </c>
      <c r="G43" s="13">
        <f t="shared" si="21"/>
        <v>1.2472271405619699</v>
      </c>
      <c r="H43" s="13">
        <f t="shared" si="21"/>
        <v>1.3212450680249939</v>
      </c>
      <c r="I43" s="13">
        <f t="shared" si="21"/>
        <v>1.3212450680249939</v>
      </c>
      <c r="J43" s="13">
        <f t="shared" si="21"/>
        <v>1.3212450680249939</v>
      </c>
      <c r="K43" s="13">
        <f t="shared" si="21"/>
        <v>1.2968741370564665</v>
      </c>
      <c r="L43" s="13">
        <f t="shared" si="21"/>
        <v>1.3009529199519994</v>
      </c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  <c r="AA43" s="9"/>
      <c r="AB43" s="9"/>
      <c r="AC43" s="9"/>
      <c r="AD43" s="9"/>
      <c r="AE43" s="9"/>
      <c r="AF43" s="9"/>
      <c r="AG43" s="9"/>
      <c r="AH43" s="9"/>
      <c r="AI43" s="9"/>
    </row>
    <row r="44" spans="1:35">
      <c r="A44" s="9" t="s">
        <v>90</v>
      </c>
      <c r="B44" s="9" t="s">
        <v>91</v>
      </c>
      <c r="C44" s="10"/>
      <c r="D44" s="10">
        <v>1.25</v>
      </c>
      <c r="E44" s="10">
        <v>1.25</v>
      </c>
      <c r="F44" s="10">
        <v>1.25</v>
      </c>
      <c r="G44" s="10">
        <v>1.25</v>
      </c>
      <c r="H44" s="10">
        <v>1.25</v>
      </c>
      <c r="I44" s="10">
        <v>1.25</v>
      </c>
      <c r="J44" s="10">
        <v>1.25</v>
      </c>
      <c r="K44" s="10">
        <v>1.25</v>
      </c>
      <c r="L44" s="10">
        <v>1.25</v>
      </c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  <c r="AA44" s="9"/>
      <c r="AB44" s="9"/>
      <c r="AC44" s="9"/>
      <c r="AD44" s="9"/>
      <c r="AE44" s="9"/>
      <c r="AF44" s="9"/>
      <c r="AG44" s="9"/>
      <c r="AH44" s="9"/>
      <c r="AI44" s="9"/>
    </row>
    <row r="45" spans="1:35">
      <c r="A45" s="2" t="s">
        <v>92</v>
      </c>
      <c r="B45" s="9" t="s">
        <v>93</v>
      </c>
      <c r="C45" s="15"/>
      <c r="D45" s="15">
        <v>1</v>
      </c>
      <c r="E45" s="15">
        <v>1</v>
      </c>
      <c r="F45" s="15">
        <v>1</v>
      </c>
      <c r="G45" s="15">
        <v>1</v>
      </c>
      <c r="H45" s="15">
        <v>1</v>
      </c>
      <c r="I45" s="15">
        <v>1</v>
      </c>
      <c r="J45" s="15">
        <v>1</v>
      </c>
      <c r="K45" s="15">
        <v>1</v>
      </c>
      <c r="L45" s="15">
        <v>1</v>
      </c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  <c r="AA45" s="9"/>
      <c r="AB45" s="9"/>
      <c r="AC45" s="9"/>
      <c r="AD45" s="9"/>
      <c r="AE45" s="9"/>
      <c r="AF45" s="9"/>
      <c r="AG45" s="9"/>
      <c r="AH45" s="9"/>
      <c r="AI45" s="9"/>
    </row>
    <row r="46" spans="1:35">
      <c r="A46" s="9" t="s">
        <v>98</v>
      </c>
      <c r="B46" s="9" t="s">
        <v>99</v>
      </c>
      <c r="C46" s="13"/>
      <c r="D46" s="13">
        <f t="shared" ref="D46:L46" si="22">1.192*(D6*SQRT(D31)/D5)^0.0535</f>
        <v>1.0661016641557657</v>
      </c>
      <c r="E46" s="13">
        <f t="shared" si="22"/>
        <v>1.0718539848308972</v>
      </c>
      <c r="F46" s="13">
        <f t="shared" si="22"/>
        <v>0.97607812372822134</v>
      </c>
      <c r="G46" s="13">
        <f t="shared" si="22"/>
        <v>0.97607812372822134</v>
      </c>
      <c r="H46" s="13">
        <f t="shared" si="22"/>
        <v>1.023196974406454</v>
      </c>
      <c r="I46" s="13">
        <f t="shared" si="22"/>
        <v>1.023196974406454</v>
      </c>
      <c r="J46" s="13">
        <f t="shared" si="22"/>
        <v>1.023196974406454</v>
      </c>
      <c r="K46" s="13">
        <f t="shared" si="22"/>
        <v>0.99890945060502634</v>
      </c>
      <c r="L46" s="13">
        <f t="shared" si="22"/>
        <v>0.98355746954673184</v>
      </c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  <c r="AA46" s="9"/>
      <c r="AB46" s="9"/>
      <c r="AC46" s="9"/>
      <c r="AD46" s="9"/>
      <c r="AE46" s="9"/>
      <c r="AF46" s="9"/>
      <c r="AG46" s="9"/>
      <c r="AH46" s="9"/>
      <c r="AI46" s="9"/>
    </row>
    <row r="47" spans="1:35">
      <c r="A47" s="9" t="s">
        <v>100</v>
      </c>
      <c r="B47" s="9" t="s">
        <v>101</v>
      </c>
      <c r="C47" s="13"/>
      <c r="D47" s="13">
        <f t="shared" ref="D47:L47" si="23">1.192*(D6*SQRT(D32)/D5)^0.0535</f>
        <v>1.0718539848308972</v>
      </c>
      <c r="E47" s="13">
        <f t="shared" si="23"/>
        <v>1.0743687144171643</v>
      </c>
      <c r="F47" s="13">
        <f t="shared" si="23"/>
        <v>0.98276073206526948</v>
      </c>
      <c r="G47" s="13">
        <f t="shared" si="23"/>
        <v>0.97607812372822134</v>
      </c>
      <c r="H47" s="13">
        <f t="shared" si="23"/>
        <v>1.0236643501786613</v>
      </c>
      <c r="I47" s="13">
        <f t="shared" si="23"/>
        <v>1.023196974406454</v>
      </c>
      <c r="J47" s="13">
        <f t="shared" si="23"/>
        <v>1.0261304800425231</v>
      </c>
      <c r="K47" s="13">
        <f t="shared" si="23"/>
        <v>0.99967106945036832</v>
      </c>
      <c r="L47" s="13">
        <f t="shared" si="23"/>
        <v>0.98912966964175464</v>
      </c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  <c r="AA47" s="9"/>
      <c r="AB47" s="9"/>
      <c r="AC47" s="9"/>
      <c r="AD47" s="9"/>
      <c r="AE47" s="9"/>
      <c r="AF47" s="9"/>
      <c r="AG47" s="9"/>
      <c r="AH47" s="9"/>
      <c r="AI47" s="9"/>
    </row>
    <row r="48" spans="1:35">
      <c r="A48" s="9" t="s">
        <v>188</v>
      </c>
      <c r="B48" s="9" t="s">
        <v>102</v>
      </c>
      <c r="C48" s="10"/>
      <c r="D48" s="10">
        <v>1</v>
      </c>
      <c r="E48" s="10">
        <v>1</v>
      </c>
      <c r="F48" s="10">
        <v>1</v>
      </c>
      <c r="G48" s="10">
        <v>1</v>
      </c>
      <c r="H48" s="10">
        <v>1</v>
      </c>
      <c r="I48" s="10">
        <v>1</v>
      </c>
      <c r="J48" s="10">
        <v>1</v>
      </c>
      <c r="K48" s="10">
        <v>1</v>
      </c>
      <c r="L48" s="10">
        <v>1</v>
      </c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  <c r="AA48" s="9"/>
      <c r="AB48" s="9"/>
      <c r="AC48" s="9"/>
      <c r="AD48" s="9"/>
      <c r="AE48" s="9"/>
      <c r="AF48" s="9"/>
      <c r="AG48" s="9"/>
      <c r="AH48" s="9"/>
      <c r="AI48" s="9"/>
    </row>
    <row r="49" spans="1:35">
      <c r="A49" s="9" t="s">
        <v>189</v>
      </c>
      <c r="B49" s="9" t="s">
        <v>103</v>
      </c>
      <c r="C49" s="13"/>
      <c r="D49" s="13" t="e">
        <f t="shared" ref="D49:L49" ca="1" si="24">IFS(
D6&lt;=1,(D6/(10*D33))-0.025,
AND(1&lt;D6,D6&lt;=17),(D6/(10*D33))+0.0125*D6-0.0375
)</f>
        <v>#NAME?</v>
      </c>
      <c r="E49" s="13" t="e">
        <f t="shared" ca="1" si="24"/>
        <v>#NAME?</v>
      </c>
      <c r="F49" s="13" t="e">
        <f t="shared" ca="1" si="24"/>
        <v>#NAME?</v>
      </c>
      <c r="G49" s="13" t="e">
        <f t="shared" ca="1" si="24"/>
        <v>#NAME?</v>
      </c>
      <c r="H49" s="13" t="e">
        <f t="shared" ca="1" si="24"/>
        <v>#NAME?</v>
      </c>
      <c r="I49" s="13" t="e">
        <f t="shared" ca="1" si="24"/>
        <v>#NAME?</v>
      </c>
      <c r="J49" s="13" t="e">
        <f t="shared" ca="1" si="24"/>
        <v>#NAME?</v>
      </c>
      <c r="K49" s="13" t="e">
        <f t="shared" ca="1" si="24"/>
        <v>#NAME?</v>
      </c>
      <c r="L49" s="13" t="e">
        <f t="shared" ca="1" si="24"/>
        <v>#NAME?</v>
      </c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  <c r="AA49" s="9"/>
      <c r="AB49" s="9"/>
      <c r="AC49" s="9"/>
      <c r="AD49" s="9"/>
      <c r="AE49" s="9"/>
      <c r="AF49" s="9"/>
      <c r="AG49" s="9"/>
      <c r="AH49" s="9"/>
      <c r="AI49" s="9"/>
    </row>
    <row r="50" spans="1:35">
      <c r="A50" s="9" t="s">
        <v>190</v>
      </c>
      <c r="B50" s="9" t="s">
        <v>108</v>
      </c>
      <c r="C50" s="9"/>
      <c r="D50" s="9" t="e">
        <f t="shared" ref="D50:L50" ca="1" si="25">IFS(
D14/D13&lt;0.175,1,
0.175&lt;=D14/D13,1.1)</f>
        <v>#NAME?</v>
      </c>
      <c r="E50" s="9" t="e">
        <f t="shared" ca="1" si="25"/>
        <v>#NAME?</v>
      </c>
      <c r="F50" s="9" t="e">
        <f t="shared" ca="1" si="25"/>
        <v>#NAME?</v>
      </c>
      <c r="G50" s="9" t="e">
        <f t="shared" ca="1" si="25"/>
        <v>#NAME?</v>
      </c>
      <c r="H50" s="9" t="e">
        <f t="shared" ca="1" si="25"/>
        <v>#NAME?</v>
      </c>
      <c r="I50" s="9" t="e">
        <f t="shared" ca="1" si="25"/>
        <v>#NAME?</v>
      </c>
      <c r="J50" s="9" t="e">
        <f t="shared" ca="1" si="25"/>
        <v>#NAME?</v>
      </c>
      <c r="K50" s="9" t="e">
        <f t="shared" ca="1" si="25"/>
        <v>#NAME?</v>
      </c>
      <c r="L50" s="9" t="e">
        <f t="shared" ca="1" si="25"/>
        <v>#NAME?</v>
      </c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  <c r="AA50" s="9"/>
      <c r="AB50" s="9"/>
      <c r="AC50" s="9"/>
      <c r="AD50" s="9"/>
      <c r="AE50" s="9"/>
      <c r="AF50" s="9"/>
      <c r="AG50" s="9"/>
      <c r="AH50" s="9"/>
      <c r="AI50" s="9"/>
    </row>
    <row r="51" spans="1:35">
      <c r="A51" s="9" t="s">
        <v>109</v>
      </c>
      <c r="B51" s="9" t="s">
        <v>110</v>
      </c>
      <c r="C51" s="13"/>
      <c r="D51" s="13">
        <f t="shared" ref="D51:L51" si="26">0.0675+0.0128*D6-0.926*(10^-4)*(D6^2)</f>
        <v>0.100461928125</v>
      </c>
      <c r="E51" s="13">
        <f t="shared" si="26"/>
        <v>0.100461928125</v>
      </c>
      <c r="F51" s="13">
        <f t="shared" si="26"/>
        <v>7.3876850000000008E-2</v>
      </c>
      <c r="G51" s="13">
        <f t="shared" si="26"/>
        <v>7.3876850000000008E-2</v>
      </c>
      <c r="H51" s="13">
        <f t="shared" si="26"/>
        <v>8.1782803124999998E-2</v>
      </c>
      <c r="I51" s="13">
        <f t="shared" si="26"/>
        <v>8.1782803124999998E-2</v>
      </c>
      <c r="J51" s="13">
        <f t="shared" si="26"/>
        <v>8.1782803124999998E-2</v>
      </c>
      <c r="K51" s="13">
        <f t="shared" si="26"/>
        <v>7.3876850000000008E-2</v>
      </c>
      <c r="L51" s="13">
        <f t="shared" si="26"/>
        <v>7.3876850000000008E-2</v>
      </c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  <c r="AA51" s="9"/>
      <c r="AB51" s="9"/>
      <c r="AC51" s="9"/>
      <c r="AD51" s="9"/>
      <c r="AE51" s="9"/>
      <c r="AF51" s="9"/>
      <c r="AG51" s="9"/>
      <c r="AH51" s="9"/>
      <c r="AI51" s="9"/>
    </row>
    <row r="52" spans="1:35">
      <c r="A52" s="9" t="s">
        <v>191</v>
      </c>
      <c r="B52" s="9" t="s">
        <v>111</v>
      </c>
      <c r="C52" s="10"/>
      <c r="D52" s="10">
        <v>0.8</v>
      </c>
      <c r="E52" s="10">
        <v>0.8</v>
      </c>
      <c r="F52" s="10">
        <v>0.8</v>
      </c>
      <c r="G52" s="10">
        <v>0.8</v>
      </c>
      <c r="H52" s="10">
        <v>0.8</v>
      </c>
      <c r="I52" s="10">
        <v>0.8</v>
      </c>
      <c r="J52" s="10">
        <v>0.8</v>
      </c>
      <c r="K52" s="10">
        <v>0.8</v>
      </c>
      <c r="L52" s="10">
        <v>0.8</v>
      </c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  <c r="AA52" s="9"/>
      <c r="AB52" s="9"/>
      <c r="AC52" s="9"/>
      <c r="AD52" s="9"/>
      <c r="AE52" s="9"/>
      <c r="AF52" s="9"/>
      <c r="AG52" s="9"/>
      <c r="AH52" s="9"/>
      <c r="AI52" s="9"/>
    </row>
    <row r="53" spans="1:35">
      <c r="A53" s="9" t="s">
        <v>112</v>
      </c>
      <c r="B53" s="9" t="s">
        <v>113</v>
      </c>
      <c r="C53" s="13"/>
      <c r="D53" s="13" t="e">
        <f t="shared" ref="D53:L53" ca="1" si="27">1+D48*(D49*D50+D51*D52)</f>
        <v>#NAME?</v>
      </c>
      <c r="E53" s="13" t="e">
        <f t="shared" ca="1" si="27"/>
        <v>#NAME?</v>
      </c>
      <c r="F53" s="13" t="e">
        <f t="shared" ca="1" si="27"/>
        <v>#NAME?</v>
      </c>
      <c r="G53" s="13" t="e">
        <f t="shared" ca="1" si="27"/>
        <v>#NAME?</v>
      </c>
      <c r="H53" s="13" t="e">
        <f t="shared" ca="1" si="27"/>
        <v>#NAME?</v>
      </c>
      <c r="I53" s="13" t="e">
        <f t="shared" ca="1" si="27"/>
        <v>#NAME?</v>
      </c>
      <c r="J53" s="13" t="e">
        <f t="shared" ca="1" si="27"/>
        <v>#NAME?</v>
      </c>
      <c r="K53" s="13" t="e">
        <f t="shared" ca="1" si="27"/>
        <v>#NAME?</v>
      </c>
      <c r="L53" s="13" t="e">
        <f t="shared" ca="1" si="27"/>
        <v>#NAME?</v>
      </c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  <c r="AA53" s="9"/>
      <c r="AB53" s="9"/>
      <c r="AC53" s="9"/>
      <c r="AD53" s="9"/>
      <c r="AE53" s="9"/>
      <c r="AF53" s="9"/>
      <c r="AG53" s="9"/>
      <c r="AH53" s="9"/>
      <c r="AI53" s="9"/>
    </row>
    <row r="54" spans="1:35">
      <c r="A54" s="9" t="s">
        <v>114</v>
      </c>
      <c r="B54" s="9" t="s">
        <v>115</v>
      </c>
      <c r="C54" s="10"/>
      <c r="D54" s="10">
        <v>1</v>
      </c>
      <c r="E54" s="10">
        <v>1</v>
      </c>
      <c r="F54" s="10">
        <v>1</v>
      </c>
      <c r="G54" s="10">
        <v>1</v>
      </c>
      <c r="H54" s="10">
        <v>1</v>
      </c>
      <c r="I54" s="10">
        <v>1</v>
      </c>
      <c r="J54" s="10">
        <v>1</v>
      </c>
      <c r="K54" s="10">
        <v>1</v>
      </c>
      <c r="L54" s="10">
        <v>1</v>
      </c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  <c r="AA54" s="9"/>
      <c r="AB54" s="9"/>
      <c r="AC54" s="9"/>
      <c r="AD54" s="9"/>
      <c r="AE54" s="9"/>
      <c r="AF54" s="9"/>
      <c r="AG54" s="9"/>
      <c r="AH54" s="9"/>
      <c r="AI54" s="9"/>
    </row>
    <row r="55" spans="1:35">
      <c r="A55" s="9" t="s">
        <v>116</v>
      </c>
      <c r="B55" s="9" t="s">
        <v>117</v>
      </c>
      <c r="C55" s="37"/>
      <c r="D55" s="37">
        <f t="shared" ref="D55:L55" si="28">1+(8.98*(10^-3)*C11/C12-8.29*(10^-3))*(D40-1)</f>
        <v>1.0005865</v>
      </c>
      <c r="E55" s="37">
        <f t="shared" si="28"/>
        <v>1.0003543243243243</v>
      </c>
      <c r="F55" s="37">
        <f t="shared" si="28"/>
        <v>1.0009857142857144</v>
      </c>
      <c r="G55" s="37">
        <f t="shared" si="28"/>
        <v>1</v>
      </c>
      <c r="H55" s="37">
        <f t="shared" si="28"/>
        <v>1.0000431249999999</v>
      </c>
      <c r="I55" s="37">
        <f t="shared" si="28"/>
        <v>1</v>
      </c>
      <c r="J55" s="37">
        <f t="shared" si="28"/>
        <v>1.0003665625</v>
      </c>
      <c r="K55" s="37">
        <f t="shared" si="28"/>
        <v>1.0000862500000001</v>
      </c>
      <c r="L55" s="37">
        <f t="shared" si="28"/>
        <v>1.0005682352941176</v>
      </c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  <c r="AA55" s="9"/>
      <c r="AB55" s="9"/>
      <c r="AC55" s="9"/>
      <c r="AD55" s="9"/>
      <c r="AE55" s="9"/>
      <c r="AF55" s="9"/>
      <c r="AG55" s="9"/>
      <c r="AH55" s="9"/>
      <c r="AI55" s="9"/>
    </row>
    <row r="56" spans="1:35">
      <c r="A56" s="9" t="s">
        <v>118</v>
      </c>
      <c r="B56" s="9" t="s">
        <v>192</v>
      </c>
      <c r="C56" s="9"/>
      <c r="D56" s="9" t="e">
        <f t="shared" ref="D56:L56" ca="1" si="29">IFS(
D16="1 Through",77.3*C11+12800,
D16="2 Through",102*C11+16400,
D16="1 Through, Nitrided",82.3*C11+12150,
D16="2 Through, Nitrided",108.6*C11+15890,
D16="1 Case, Nitralloy",86.2*C11+12730,
D16="2 Case, Nitralloy",113.8*C11+16650,
D16="1, Chromed",105.2*C11+9280,
D16="2, Chromed",105.2*C11+22280,
D16="3, Chromed",105.2*C11+29280
)</f>
        <v>#NAME?</v>
      </c>
      <c r="E56" s="9" t="e">
        <f t="shared" ca="1" si="29"/>
        <v>#NAME?</v>
      </c>
      <c r="F56" s="9" t="e">
        <f t="shared" ca="1" si="29"/>
        <v>#NAME?</v>
      </c>
      <c r="G56" s="9" t="e">
        <f t="shared" ca="1" si="29"/>
        <v>#NAME?</v>
      </c>
      <c r="H56" s="9" t="e">
        <f t="shared" ca="1" si="29"/>
        <v>#NAME?</v>
      </c>
      <c r="I56" s="9" t="e">
        <f t="shared" ca="1" si="29"/>
        <v>#NAME?</v>
      </c>
      <c r="J56" s="9" t="e">
        <f t="shared" ca="1" si="29"/>
        <v>#NAME?</v>
      </c>
      <c r="K56" s="9" t="e">
        <f t="shared" ca="1" si="29"/>
        <v>#NAME?</v>
      </c>
      <c r="L56" s="9" t="e">
        <f t="shared" ca="1" si="29"/>
        <v>#NAME?</v>
      </c>
      <c r="M56" s="9" t="s">
        <v>120</v>
      </c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  <c r="AA56" s="9"/>
      <c r="AB56" s="9"/>
      <c r="AC56" s="9"/>
      <c r="AD56" s="9"/>
      <c r="AE56" s="9"/>
      <c r="AF56" s="9"/>
      <c r="AG56" s="9"/>
      <c r="AH56" s="9"/>
      <c r="AI56" s="9"/>
    </row>
    <row r="57" spans="1:35">
      <c r="A57" s="9" t="s">
        <v>121</v>
      </c>
      <c r="B57" s="9" t="s">
        <v>122</v>
      </c>
      <c r="C57" s="9"/>
      <c r="D57" s="9" t="e">
        <f ca="1">IFS(
OR(D16="1 Through",D16="1 Through, Nitrided",D16="1 Case, Nitralloy",D16="1, Chromed"),349*C11+34300,
OR(D16="2 Through",D16="2 Through, Nitrided",D16="2 Case, Nitralloy",D16="2, Chromed",D16="3, Chromed"),322*C11+29100
)</f>
        <v>#NAME?</v>
      </c>
      <c r="E57" s="9">
        <f t="shared" ref="E57:L57" si="30">322*D11+29100</f>
        <v>138580</v>
      </c>
      <c r="F57" s="9">
        <f t="shared" si="30"/>
        <v>138580</v>
      </c>
      <c r="G57" s="9">
        <f t="shared" si="30"/>
        <v>138580</v>
      </c>
      <c r="H57" s="9">
        <f t="shared" si="30"/>
        <v>138580</v>
      </c>
      <c r="I57" s="9">
        <f t="shared" si="30"/>
        <v>138580</v>
      </c>
      <c r="J57" s="9">
        <f t="shared" si="30"/>
        <v>138580</v>
      </c>
      <c r="K57" s="9">
        <f t="shared" si="30"/>
        <v>138580</v>
      </c>
      <c r="L57" s="9">
        <f t="shared" si="30"/>
        <v>138580</v>
      </c>
      <c r="M57" s="9" t="s">
        <v>120</v>
      </c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  <c r="AA57" s="9"/>
      <c r="AB57" s="9"/>
      <c r="AC57" s="9"/>
      <c r="AD57" s="9"/>
      <c r="AE57" s="9"/>
      <c r="AF57" s="9"/>
      <c r="AG57" s="9"/>
      <c r="AH57" s="9"/>
      <c r="AI57" s="9"/>
    </row>
    <row r="58" spans="1:35">
      <c r="A58" s="9" t="s">
        <v>123</v>
      </c>
      <c r="B58" s="9" t="s">
        <v>24</v>
      </c>
      <c r="C58" s="10"/>
      <c r="D58" s="10">
        <f t="shared" ref="D58:L58" si="31">10^8</f>
        <v>100000000</v>
      </c>
      <c r="E58" s="10">
        <f t="shared" si="31"/>
        <v>100000000</v>
      </c>
      <c r="F58" s="10">
        <f t="shared" si="31"/>
        <v>100000000</v>
      </c>
      <c r="G58" s="10">
        <f t="shared" si="31"/>
        <v>100000000</v>
      </c>
      <c r="H58" s="10">
        <f t="shared" si="31"/>
        <v>100000000</v>
      </c>
      <c r="I58" s="10">
        <f t="shared" si="31"/>
        <v>100000000</v>
      </c>
      <c r="J58" s="10">
        <f t="shared" si="31"/>
        <v>100000000</v>
      </c>
      <c r="K58" s="10">
        <f t="shared" si="31"/>
        <v>100000000</v>
      </c>
      <c r="L58" s="10">
        <f t="shared" si="31"/>
        <v>100000000</v>
      </c>
      <c r="M58" s="9" t="s">
        <v>124</v>
      </c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  <c r="AA58" s="9"/>
      <c r="AB58" s="9"/>
      <c r="AC58" s="9"/>
      <c r="AD58" s="9"/>
      <c r="AE58" s="9"/>
      <c r="AF58" s="9"/>
      <c r="AG58" s="9"/>
      <c r="AH58" s="9"/>
      <c r="AI58" s="9"/>
    </row>
    <row r="59" spans="1:35">
      <c r="A59" s="9" t="s">
        <v>125</v>
      </c>
      <c r="B59" s="9" t="s">
        <v>126</v>
      </c>
      <c r="C59" s="13"/>
      <c r="D59" s="13">
        <f t="shared" ref="D59:L59" si="32">1.3558*D58^-0.0178</f>
        <v>0.97677746055904235</v>
      </c>
      <c r="E59" s="13">
        <f t="shared" si="32"/>
        <v>0.97677746055904235</v>
      </c>
      <c r="F59" s="13">
        <f t="shared" si="32"/>
        <v>0.97677746055904235</v>
      </c>
      <c r="G59" s="13">
        <f t="shared" si="32"/>
        <v>0.97677746055904235</v>
      </c>
      <c r="H59" s="13">
        <f t="shared" si="32"/>
        <v>0.97677746055904235</v>
      </c>
      <c r="I59" s="13">
        <f t="shared" si="32"/>
        <v>0.97677746055904235</v>
      </c>
      <c r="J59" s="13">
        <f t="shared" si="32"/>
        <v>0.97677746055904235</v>
      </c>
      <c r="K59" s="13">
        <f t="shared" si="32"/>
        <v>0.97677746055904235</v>
      </c>
      <c r="L59" s="13">
        <f t="shared" si="32"/>
        <v>0.97677746055904235</v>
      </c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  <c r="AA59" s="9"/>
      <c r="AB59" s="9"/>
      <c r="AC59" s="9"/>
      <c r="AD59" s="9"/>
      <c r="AE59" s="9"/>
      <c r="AF59" s="9"/>
      <c r="AG59" s="9"/>
      <c r="AH59" s="9"/>
      <c r="AI59" s="9"/>
    </row>
    <row r="60" spans="1:35">
      <c r="A60" s="9" t="s">
        <v>127</v>
      </c>
      <c r="B60" s="9" t="s">
        <v>128</v>
      </c>
      <c r="C60" s="13"/>
      <c r="D60" s="13">
        <f t="shared" ref="D60:L60" si="33">1.3558*(D58/D40)^-0.0178</f>
        <v>0.98753224768963133</v>
      </c>
      <c r="E60" s="13">
        <f t="shared" si="33"/>
        <v>0.98400971404898985</v>
      </c>
      <c r="F60" s="13">
        <f t="shared" si="33"/>
        <v>0.99232715337630906</v>
      </c>
      <c r="G60" s="13">
        <f t="shared" si="33"/>
        <v>0.97677746055904235</v>
      </c>
      <c r="H60" s="13">
        <f t="shared" si="33"/>
        <v>0.97783208789229559</v>
      </c>
      <c r="I60" s="13">
        <f t="shared" si="33"/>
        <v>0.97677746055904235</v>
      </c>
      <c r="J60" s="13">
        <f t="shared" si="33"/>
        <v>0.9842138001152837</v>
      </c>
      <c r="K60" s="13">
        <f t="shared" si="33"/>
        <v>0.9788274598563822</v>
      </c>
      <c r="L60" s="13">
        <f t="shared" si="33"/>
        <v>0.9872789488684427</v>
      </c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  <c r="AA60" s="9"/>
      <c r="AB60" s="9"/>
      <c r="AC60" s="9"/>
      <c r="AD60" s="9"/>
      <c r="AE60" s="9"/>
      <c r="AF60" s="9"/>
      <c r="AG60" s="9"/>
      <c r="AH60" s="9"/>
      <c r="AI60" s="9"/>
    </row>
    <row r="61" spans="1:35">
      <c r="A61" s="9" t="s">
        <v>129</v>
      </c>
      <c r="B61" s="9" t="s">
        <v>130</v>
      </c>
      <c r="C61" s="13"/>
      <c r="D61" s="13">
        <f t="shared" ref="D61:L61" si="34">1.4488*D58^-0.023</f>
        <v>0.94843688898866818</v>
      </c>
      <c r="E61" s="13">
        <f t="shared" si="34"/>
        <v>0.94843688898866818</v>
      </c>
      <c r="F61" s="13">
        <f t="shared" si="34"/>
        <v>0.94843688898866818</v>
      </c>
      <c r="G61" s="13">
        <f t="shared" si="34"/>
        <v>0.94843688898866818</v>
      </c>
      <c r="H61" s="13">
        <f t="shared" si="34"/>
        <v>0.94843688898866818</v>
      </c>
      <c r="I61" s="13">
        <f t="shared" si="34"/>
        <v>0.94843688898866818</v>
      </c>
      <c r="J61" s="13">
        <f t="shared" si="34"/>
        <v>0.94843688898866818</v>
      </c>
      <c r="K61" s="13">
        <f t="shared" si="34"/>
        <v>0.94843688898866818</v>
      </c>
      <c r="L61" s="13">
        <f t="shared" si="34"/>
        <v>0.94843688898866818</v>
      </c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  <c r="AA61" s="9"/>
      <c r="AB61" s="9"/>
      <c r="AC61" s="9"/>
      <c r="AD61" s="9"/>
      <c r="AE61" s="9"/>
      <c r="AF61" s="9"/>
      <c r="AG61" s="9"/>
      <c r="AH61" s="9"/>
      <c r="AI61" s="9"/>
    </row>
    <row r="62" spans="1:35">
      <c r="A62" s="9" t="s">
        <v>131</v>
      </c>
      <c r="B62" s="9" t="s">
        <v>132</v>
      </c>
      <c r="C62" s="13"/>
      <c r="D62" s="13">
        <f t="shared" ref="D62:L62" si="35">1.4488*(D58/D40)^-0.023</f>
        <v>0.96195196708817254</v>
      </c>
      <c r="E62" s="13">
        <f t="shared" si="35"/>
        <v>0.95752059154576985</v>
      </c>
      <c r="F62" s="13">
        <f t="shared" si="35"/>
        <v>0.96799141936343813</v>
      </c>
      <c r="G62" s="13">
        <f t="shared" si="35"/>
        <v>0.94843688898866818</v>
      </c>
      <c r="H62" s="13">
        <f t="shared" si="35"/>
        <v>0.94976027985743505</v>
      </c>
      <c r="I62" s="13">
        <f t="shared" si="35"/>
        <v>0.94843688898866818</v>
      </c>
      <c r="J62" s="13">
        <f t="shared" si="35"/>
        <v>0.95777720716165682</v>
      </c>
      <c r="K62" s="13">
        <f t="shared" si="35"/>
        <v>0.95100969714252781</v>
      </c>
      <c r="L62" s="13">
        <f t="shared" si="35"/>
        <v>0.9616331608354437</v>
      </c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  <c r="AA62" s="9"/>
      <c r="AB62" s="9"/>
      <c r="AC62" s="9"/>
      <c r="AD62" s="9"/>
      <c r="AE62" s="9"/>
      <c r="AF62" s="9"/>
      <c r="AG62" s="9"/>
      <c r="AH62" s="9"/>
      <c r="AI62" s="9"/>
    </row>
    <row r="63" spans="1:35">
      <c r="A63" s="9" t="s">
        <v>133</v>
      </c>
      <c r="B63" s="9" t="s">
        <v>134</v>
      </c>
      <c r="C63" s="10"/>
      <c r="D63" s="10">
        <v>0.98</v>
      </c>
      <c r="E63" s="10">
        <v>0.98</v>
      </c>
      <c r="F63" s="10">
        <v>0.98</v>
      </c>
      <c r="G63" s="10">
        <v>0.98</v>
      </c>
      <c r="H63" s="10">
        <v>0.98</v>
      </c>
      <c r="I63" s="10">
        <v>0.98</v>
      </c>
      <c r="J63" s="10">
        <v>0.98</v>
      </c>
      <c r="K63" s="10">
        <v>0.98</v>
      </c>
      <c r="L63" s="10">
        <v>0.98</v>
      </c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  <c r="AA63" s="9"/>
      <c r="AB63" s="9"/>
      <c r="AC63" s="9"/>
      <c r="AD63" s="9"/>
      <c r="AE63" s="9"/>
      <c r="AF63" s="9"/>
      <c r="AG63" s="9"/>
      <c r="AH63" s="9"/>
      <c r="AI63" s="9"/>
    </row>
    <row r="64" spans="1:35">
      <c r="A64" s="9" t="s">
        <v>135</v>
      </c>
      <c r="B64" s="9" t="s">
        <v>136</v>
      </c>
      <c r="C64" s="13"/>
      <c r="D64" s="13">
        <f t="shared" ref="D64:L64" si="36">0.658-0.0759*LN(1-D63)</f>
        <v>0.95492254611199623</v>
      </c>
      <c r="E64" s="13">
        <f t="shared" si="36"/>
        <v>0.95492254611199623</v>
      </c>
      <c r="F64" s="13">
        <f t="shared" si="36"/>
        <v>0.95492254611199623</v>
      </c>
      <c r="G64" s="13">
        <f t="shared" si="36"/>
        <v>0.95492254611199623</v>
      </c>
      <c r="H64" s="13">
        <f t="shared" si="36"/>
        <v>0.95492254611199623</v>
      </c>
      <c r="I64" s="13">
        <f t="shared" si="36"/>
        <v>0.95492254611199623</v>
      </c>
      <c r="J64" s="13">
        <f t="shared" si="36"/>
        <v>0.95492254611199623</v>
      </c>
      <c r="K64" s="13">
        <f t="shared" si="36"/>
        <v>0.95492254611199623</v>
      </c>
      <c r="L64" s="13">
        <f t="shared" si="36"/>
        <v>0.95492254611199623</v>
      </c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  <c r="AA64" s="9"/>
      <c r="AB64" s="9"/>
      <c r="AC64" s="9"/>
      <c r="AD64" s="9"/>
      <c r="AE64" s="9"/>
      <c r="AF64" s="9"/>
      <c r="AG64" s="9"/>
      <c r="AH64" s="9"/>
      <c r="AI64" s="9"/>
    </row>
    <row r="65" spans="1:35">
      <c r="A65" s="9" t="s">
        <v>137</v>
      </c>
      <c r="B65" s="9" t="s">
        <v>138</v>
      </c>
      <c r="C65" s="10"/>
      <c r="D65" s="10">
        <v>1</v>
      </c>
      <c r="E65" s="10">
        <v>1</v>
      </c>
      <c r="F65" s="10">
        <v>1</v>
      </c>
      <c r="G65" s="10">
        <v>1</v>
      </c>
      <c r="H65" s="10">
        <v>1</v>
      </c>
      <c r="I65" s="10">
        <v>1</v>
      </c>
      <c r="J65" s="10">
        <v>1</v>
      </c>
      <c r="K65" s="10">
        <v>1</v>
      </c>
      <c r="L65" s="10">
        <v>1</v>
      </c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  <c r="AA65" s="9"/>
      <c r="AB65" s="9"/>
      <c r="AC65" s="9"/>
      <c r="AD65" s="9"/>
      <c r="AE65" s="9"/>
      <c r="AF65" s="9"/>
      <c r="AG65" s="9"/>
      <c r="AH65" s="9"/>
      <c r="AI65" s="9"/>
    </row>
    <row r="66" spans="1:35">
      <c r="A66" s="9" t="s">
        <v>139</v>
      </c>
      <c r="B66" s="9" t="s">
        <v>140</v>
      </c>
      <c r="C66" s="11"/>
      <c r="D66" s="11">
        <v>1</v>
      </c>
      <c r="E66" s="11">
        <v>1</v>
      </c>
      <c r="F66" s="11">
        <v>1</v>
      </c>
      <c r="G66" s="11">
        <v>1</v>
      </c>
      <c r="H66" s="11">
        <v>1</v>
      </c>
      <c r="I66" s="11">
        <v>1</v>
      </c>
      <c r="J66" s="11">
        <v>1</v>
      </c>
      <c r="K66" s="11">
        <v>1</v>
      </c>
      <c r="L66" s="11">
        <v>1</v>
      </c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  <c r="AA66" s="9"/>
      <c r="AB66" s="9"/>
      <c r="AC66" s="9"/>
      <c r="AD66" s="9"/>
      <c r="AE66" s="9"/>
      <c r="AF66" s="9"/>
      <c r="AG66" s="9"/>
      <c r="AH66" s="9"/>
      <c r="AI66" s="9"/>
    </row>
    <row r="67" spans="1:35">
      <c r="A67" s="9" t="s">
        <v>193</v>
      </c>
      <c r="B67" s="9" t="s">
        <v>194</v>
      </c>
      <c r="C67" s="9">
        <f t="shared" ref="C67:L67" si="37">C3/C5</f>
        <v>3.5</v>
      </c>
      <c r="D67" s="9">
        <f t="shared" si="37"/>
        <v>1.6666666666666667</v>
      </c>
      <c r="E67" s="9">
        <f t="shared" si="37"/>
        <v>3.0833333333333335</v>
      </c>
      <c r="F67" s="9">
        <f t="shared" si="37"/>
        <v>1.75</v>
      </c>
      <c r="G67" s="9">
        <f t="shared" si="37"/>
        <v>1.75</v>
      </c>
      <c r="H67" s="9">
        <f t="shared" si="37"/>
        <v>2.6666666666666665</v>
      </c>
      <c r="I67" s="9">
        <f t="shared" si="37"/>
        <v>2.6666666666666665</v>
      </c>
      <c r="J67" s="9">
        <f t="shared" si="37"/>
        <v>2.6666666666666665</v>
      </c>
      <c r="K67" s="9">
        <f t="shared" si="37"/>
        <v>3</v>
      </c>
      <c r="L67" s="9">
        <f t="shared" si="37"/>
        <v>1.7</v>
      </c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  <c r="AA67" s="9"/>
      <c r="AB67" s="9"/>
      <c r="AC67" s="9"/>
      <c r="AD67" s="9"/>
      <c r="AE67" s="9"/>
      <c r="AF67" s="9"/>
      <c r="AG67" s="9"/>
      <c r="AH67" s="9"/>
      <c r="AI67" s="9"/>
    </row>
    <row r="68" spans="1:35">
      <c r="A68" s="9" t="s">
        <v>195</v>
      </c>
      <c r="B68" s="9" t="s">
        <v>194</v>
      </c>
      <c r="C68" s="9">
        <f t="shared" ref="C68:L68" si="38">C4/C5</f>
        <v>5</v>
      </c>
      <c r="D68" s="9">
        <f t="shared" si="38"/>
        <v>3.0833333333333335</v>
      </c>
      <c r="E68" s="9">
        <f t="shared" si="38"/>
        <v>4.666666666666667</v>
      </c>
      <c r="F68" s="9">
        <f t="shared" si="38"/>
        <v>4.25</v>
      </c>
      <c r="G68" s="9">
        <f t="shared" si="38"/>
        <v>1.75</v>
      </c>
      <c r="H68" s="9">
        <f t="shared" si="38"/>
        <v>2.8333333333333335</v>
      </c>
      <c r="I68" s="9">
        <f t="shared" si="38"/>
        <v>2.6666666666666665</v>
      </c>
      <c r="J68" s="9">
        <f t="shared" si="38"/>
        <v>4.083333333333333</v>
      </c>
      <c r="K68" s="9">
        <f t="shared" si="38"/>
        <v>3.375</v>
      </c>
      <c r="L68" s="9">
        <f t="shared" si="38"/>
        <v>3.1</v>
      </c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  <c r="AA68" s="9"/>
      <c r="AB68" s="9"/>
      <c r="AC68" s="9"/>
      <c r="AD68" s="9"/>
      <c r="AE68" s="9"/>
      <c r="AF68" s="9"/>
      <c r="AG68" s="9"/>
      <c r="AH68" s="9"/>
      <c r="AI68" s="9"/>
    </row>
    <row r="69" spans="1:35">
      <c r="A69" s="9" t="s">
        <v>196</v>
      </c>
      <c r="B69" s="9"/>
      <c r="C69" s="9">
        <f t="shared" ref="C69:L69" si="39">1.25/C5</f>
        <v>0.15625</v>
      </c>
      <c r="D69" s="9">
        <f t="shared" si="39"/>
        <v>0.10416666666666667</v>
      </c>
      <c r="E69" s="9">
        <f t="shared" si="39"/>
        <v>0.10416666666666667</v>
      </c>
      <c r="F69" s="9">
        <f t="shared" si="39"/>
        <v>0.10416666666666667</v>
      </c>
      <c r="G69" s="9">
        <f t="shared" si="39"/>
        <v>0.10416666666666667</v>
      </c>
      <c r="H69" s="9">
        <f t="shared" si="39"/>
        <v>0.10416666666666667</v>
      </c>
      <c r="I69" s="9">
        <f t="shared" si="39"/>
        <v>0.10416666666666667</v>
      </c>
      <c r="J69" s="9">
        <f t="shared" si="39"/>
        <v>0.10416666666666667</v>
      </c>
      <c r="K69" s="9">
        <f t="shared" si="39"/>
        <v>0.15625</v>
      </c>
      <c r="L69" s="9">
        <f t="shared" si="39"/>
        <v>0.125</v>
      </c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  <c r="AA69" s="9"/>
      <c r="AB69" s="9"/>
      <c r="AC69" s="9"/>
      <c r="AD69" s="9"/>
      <c r="AE69" s="9"/>
      <c r="AF69" s="9"/>
      <c r="AG69" s="9"/>
      <c r="AH69" s="9"/>
      <c r="AI69" s="9"/>
    </row>
    <row r="70" spans="1:35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  <c r="AA70" s="9"/>
      <c r="AB70" s="9"/>
      <c r="AC70" s="9"/>
      <c r="AD70" s="9"/>
      <c r="AE70" s="9"/>
      <c r="AF70" s="9"/>
      <c r="AG70" s="9"/>
      <c r="AH70" s="9"/>
      <c r="AI70" s="9"/>
    </row>
    <row r="71" spans="1:35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  <c r="AA71" s="9"/>
      <c r="AB71" s="9"/>
      <c r="AC71" s="9"/>
      <c r="AD71" s="9"/>
      <c r="AE71" s="9"/>
      <c r="AF71" s="9"/>
      <c r="AG71" s="9"/>
      <c r="AH71" s="9"/>
      <c r="AI71" s="9"/>
    </row>
    <row r="72" spans="1:35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  <c r="AA72" s="9"/>
      <c r="AB72" s="9"/>
      <c r="AC72" s="9"/>
      <c r="AD72" s="9"/>
      <c r="AE72" s="9"/>
      <c r="AF72" s="9"/>
      <c r="AG72" s="9"/>
      <c r="AH72" s="9"/>
      <c r="AI72" s="9"/>
    </row>
    <row r="73" spans="1:35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  <c r="AA73" s="9"/>
      <c r="AB73" s="9"/>
      <c r="AC73" s="9"/>
      <c r="AD73" s="9"/>
      <c r="AE73" s="9"/>
      <c r="AF73" s="9"/>
      <c r="AG73" s="9"/>
      <c r="AH73" s="9"/>
      <c r="AI73" s="9"/>
    </row>
    <row r="74" spans="1:35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  <c r="AA74" s="9"/>
      <c r="AB74" s="9"/>
      <c r="AC74" s="9"/>
      <c r="AD74" s="9"/>
      <c r="AE74" s="9"/>
      <c r="AF74" s="9"/>
      <c r="AG74" s="9"/>
      <c r="AH74" s="9"/>
      <c r="AI74" s="9"/>
    </row>
    <row r="75" spans="1:35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  <c r="AA75" s="9"/>
      <c r="AB75" s="9"/>
      <c r="AC75" s="9"/>
      <c r="AD75" s="9"/>
      <c r="AE75" s="9"/>
      <c r="AF75" s="9"/>
      <c r="AG75" s="9"/>
      <c r="AH75" s="9"/>
      <c r="AI75" s="9"/>
    </row>
  </sheetData>
  <mergeCells count="1">
    <mergeCell ref="D1:L1"/>
  </mergeCells>
  <conditionalFormatting sqref="C23:L24">
    <cfRule type="cellIs" dxfId="3" priority="1" operator="lessThanOrEqual">
      <formula>1.3</formula>
    </cfRule>
  </conditionalFormatting>
  <conditionalFormatting sqref="C25:L26">
    <cfRule type="cellIs" dxfId="2" priority="2" operator="lessThanOrEqual">
      <formula>1.15</formula>
    </cfRule>
  </conditionalFormatting>
  <conditionalFormatting sqref="P30">
    <cfRule type="notContainsBlanks" dxfId="1" priority="3">
      <formula>LEN(TRIM(P30))&gt;0</formula>
    </cfRule>
  </conditionalFormatting>
  <dataValidations count="2">
    <dataValidation type="list" allowBlank="1" showErrorMessage="1" sqref="C16:L16" xr:uid="{00000000-0002-0000-0500-000000000000}">
      <formula1>"1 Through,2 Through,1 Through, Nitrided,2 Through, Nitrided,1 Case, Nitralloy,2 Case, Nitralloy,1, Chromed,2, Chromed,3, Chromed"</formula1>
    </dataValidation>
    <dataValidation type="list" allowBlank="1" showErrorMessage="1" sqref="C9:L10" xr:uid="{00000000-0002-0000-0500-000001000000}">
      <formula1>"Steel,Malleable Iron,Nodular Iron,Cast Iron,Al Bronze,Tin Bronze"</formula1>
    </dataValidation>
  </dataValidation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D12"/>
  <sheetViews>
    <sheetView workbookViewId="0"/>
  </sheetViews>
  <sheetFormatPr defaultColWidth="12.5703125" defaultRowHeight="15.75" customHeight="1"/>
  <sheetData>
    <row r="1" spans="1:4">
      <c r="A1" s="38" t="s">
        <v>197</v>
      </c>
      <c r="C1" s="38" t="s">
        <v>198</v>
      </c>
      <c r="D1" s="38" t="s">
        <v>199</v>
      </c>
    </row>
    <row r="2" spans="1:4">
      <c r="A2" s="38">
        <v>2</v>
      </c>
      <c r="B2" s="38" t="s">
        <v>200</v>
      </c>
    </row>
    <row r="3" spans="1:4">
      <c r="A3" s="38">
        <v>3</v>
      </c>
      <c r="B3" s="38" t="s">
        <v>201</v>
      </c>
    </row>
    <row r="4" spans="1:4">
      <c r="A4" s="38">
        <v>4</v>
      </c>
      <c r="B4" s="38" t="s">
        <v>201</v>
      </c>
    </row>
    <row r="5" spans="1:4">
      <c r="A5" s="38">
        <v>5</v>
      </c>
      <c r="B5" s="38" t="s">
        <v>202</v>
      </c>
      <c r="D5" s="38" t="s">
        <v>203</v>
      </c>
    </row>
    <row r="6" spans="1:4">
      <c r="A6" s="38">
        <v>6</v>
      </c>
      <c r="B6" s="38" t="s">
        <v>204</v>
      </c>
      <c r="D6" s="38" t="s">
        <v>205</v>
      </c>
    </row>
    <row r="7" spans="1:4">
      <c r="A7" s="38">
        <v>7</v>
      </c>
      <c r="B7" s="38" t="s">
        <v>206</v>
      </c>
      <c r="D7" s="38" t="s">
        <v>205</v>
      </c>
    </row>
    <row r="8" spans="1:4">
      <c r="A8" s="38">
        <v>8</v>
      </c>
      <c r="B8" s="38" t="s">
        <v>207</v>
      </c>
    </row>
    <row r="9" spans="1:4">
      <c r="A9" s="38">
        <v>9</v>
      </c>
      <c r="B9" s="38" t="s">
        <v>208</v>
      </c>
    </row>
    <row r="10" spans="1:4">
      <c r="A10" s="38">
        <v>10</v>
      </c>
      <c r="B10" s="38" t="s">
        <v>209</v>
      </c>
      <c r="D10" s="38" t="s">
        <v>205</v>
      </c>
    </row>
    <row r="11" spans="1:4">
      <c r="A11" s="38">
        <v>11</v>
      </c>
      <c r="B11" s="38" t="s">
        <v>210</v>
      </c>
      <c r="C11" s="38" t="s">
        <v>211</v>
      </c>
    </row>
    <row r="12" spans="1:4">
      <c r="A12" s="38">
        <v>12</v>
      </c>
      <c r="B12" s="38" t="s">
        <v>206</v>
      </c>
      <c r="D12" s="38" t="s">
        <v>205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R114"/>
  <sheetViews>
    <sheetView workbookViewId="0"/>
  </sheetViews>
  <sheetFormatPr defaultColWidth="12.5703125" defaultRowHeight="15.75" customHeight="1"/>
  <cols>
    <col min="1" max="1" width="14.42578125" customWidth="1"/>
  </cols>
  <sheetData>
    <row r="1" spans="1:15">
      <c r="A1" s="38"/>
      <c r="B1" s="39" t="s">
        <v>212</v>
      </c>
      <c r="C1" s="39" t="s">
        <v>213</v>
      </c>
      <c r="D1" s="40">
        <v>1</v>
      </c>
      <c r="E1" s="39">
        <v>2</v>
      </c>
      <c r="F1" s="39">
        <v>3</v>
      </c>
      <c r="G1" s="39">
        <v>4</v>
      </c>
      <c r="H1" s="39">
        <v>5</v>
      </c>
      <c r="I1" s="39">
        <v>6</v>
      </c>
      <c r="J1" s="39">
        <v>7</v>
      </c>
      <c r="K1" s="41">
        <v>8</v>
      </c>
      <c r="L1" s="41">
        <v>9</v>
      </c>
      <c r="M1" s="41">
        <v>10</v>
      </c>
      <c r="N1" s="41">
        <v>11</v>
      </c>
      <c r="O1" s="41">
        <v>12</v>
      </c>
    </row>
    <row r="2" spans="1:15">
      <c r="A2" s="38"/>
      <c r="B2" s="38"/>
      <c r="C2" s="38"/>
      <c r="D2" s="40"/>
      <c r="F2" s="42" t="s">
        <v>201</v>
      </c>
      <c r="G2" s="42" t="s">
        <v>201</v>
      </c>
      <c r="H2" s="42" t="s">
        <v>202</v>
      </c>
      <c r="I2" s="42" t="s">
        <v>204</v>
      </c>
      <c r="J2" s="42" t="s">
        <v>206</v>
      </c>
      <c r="K2" s="43" t="s">
        <v>207</v>
      </c>
      <c r="L2" s="42" t="s">
        <v>214</v>
      </c>
      <c r="M2" s="42" t="s">
        <v>202</v>
      </c>
      <c r="N2" s="38" t="s">
        <v>210</v>
      </c>
      <c r="O2" s="42" t="s">
        <v>202</v>
      </c>
    </row>
    <row r="3" spans="1:15">
      <c r="A3" s="38" t="s">
        <v>27</v>
      </c>
      <c r="B3" s="38" t="s">
        <v>28</v>
      </c>
      <c r="C3" s="38" t="s">
        <v>29</v>
      </c>
      <c r="D3" s="40"/>
      <c r="N3" s="38" t="s">
        <v>215</v>
      </c>
    </row>
    <row r="4" spans="1:15">
      <c r="A4" s="44" t="s">
        <v>216</v>
      </c>
      <c r="B4" s="38" t="s">
        <v>217</v>
      </c>
      <c r="C4" s="38">
        <v>0.9</v>
      </c>
      <c r="D4" s="40"/>
    </row>
    <row r="5" spans="1:15" ht="15.75" customHeight="1">
      <c r="A5" s="45"/>
      <c r="B5" s="38" t="s">
        <v>218</v>
      </c>
      <c r="C5" s="38">
        <v>238</v>
      </c>
      <c r="D5" s="40">
        <v>238</v>
      </c>
      <c r="E5" s="38">
        <v>238</v>
      </c>
      <c r="F5" s="38">
        <v>238</v>
      </c>
      <c r="G5" s="38">
        <v>238</v>
      </c>
      <c r="H5" s="46">
        <v>238</v>
      </c>
      <c r="I5" s="38">
        <v>238</v>
      </c>
      <c r="J5" s="38">
        <v>238</v>
      </c>
      <c r="K5" s="38">
        <v>238</v>
      </c>
      <c r="L5" s="38">
        <v>238</v>
      </c>
      <c r="M5" s="47">
        <v>238</v>
      </c>
      <c r="N5" s="38">
        <v>238</v>
      </c>
      <c r="O5" s="38">
        <v>238</v>
      </c>
    </row>
    <row r="6" spans="1:15" ht="15.75" customHeight="1">
      <c r="A6" s="45"/>
      <c r="B6" s="38" t="s">
        <v>219</v>
      </c>
      <c r="C6" s="38">
        <v>257</v>
      </c>
      <c r="D6" s="40">
        <v>257</v>
      </c>
      <c r="E6" s="38">
        <v>257</v>
      </c>
      <c r="F6" s="38">
        <v>257</v>
      </c>
      <c r="G6" s="38">
        <v>257</v>
      </c>
      <c r="H6" s="46">
        <v>257</v>
      </c>
      <c r="I6" s="38">
        <v>257</v>
      </c>
      <c r="J6" s="38">
        <v>257</v>
      </c>
      <c r="K6" s="38">
        <v>257</v>
      </c>
      <c r="L6" s="38">
        <v>257</v>
      </c>
      <c r="M6" s="47">
        <v>257</v>
      </c>
      <c r="N6" s="38">
        <v>257</v>
      </c>
      <c r="O6" s="38">
        <v>257</v>
      </c>
    </row>
    <row r="7" spans="1:15" ht="15.75" customHeight="1">
      <c r="A7" s="48" t="s">
        <v>220</v>
      </c>
      <c r="B7" s="49"/>
      <c r="C7" s="49"/>
      <c r="D7" s="49"/>
      <c r="E7" s="49"/>
      <c r="F7" s="49"/>
      <c r="G7" s="49"/>
      <c r="H7" s="49"/>
      <c r="I7" s="49"/>
      <c r="J7" s="49"/>
      <c r="K7" s="49"/>
      <c r="L7" s="49"/>
      <c r="M7" s="49"/>
      <c r="N7" s="49"/>
      <c r="O7" s="49"/>
    </row>
    <row r="8" spans="1:15">
      <c r="A8" s="39"/>
      <c r="B8" s="39" t="s">
        <v>221</v>
      </c>
      <c r="C8" s="39">
        <v>0.57999999999999996</v>
      </c>
      <c r="D8" s="40">
        <v>0.5</v>
      </c>
      <c r="E8" s="47">
        <v>0.5</v>
      </c>
      <c r="F8" s="39">
        <v>1</v>
      </c>
      <c r="G8" s="39">
        <v>1</v>
      </c>
      <c r="H8" s="39">
        <v>0.75</v>
      </c>
      <c r="I8" s="39">
        <v>0.5</v>
      </c>
      <c r="J8" s="50">
        <v>0.5</v>
      </c>
      <c r="K8" s="47">
        <v>0.5</v>
      </c>
      <c r="L8" s="47">
        <v>0.5</v>
      </c>
      <c r="M8" s="47">
        <v>0.75</v>
      </c>
      <c r="N8" s="38">
        <v>0.5</v>
      </c>
      <c r="O8" s="39">
        <v>0.5</v>
      </c>
    </row>
    <row r="9" spans="1:15">
      <c r="D9" s="40"/>
      <c r="J9" s="51"/>
    </row>
    <row r="10" spans="1:15">
      <c r="A10" s="39"/>
      <c r="B10" s="39" t="s">
        <v>222</v>
      </c>
      <c r="C10" s="39">
        <v>1.25</v>
      </c>
      <c r="D10" s="52">
        <v>3.01</v>
      </c>
      <c r="E10" s="50">
        <v>3</v>
      </c>
      <c r="F10" s="50">
        <v>1.25</v>
      </c>
      <c r="G10" s="50">
        <v>1.25</v>
      </c>
      <c r="H10" s="53">
        <f>(1)/0.75</f>
        <v>1.3333333333333333</v>
      </c>
      <c r="I10" s="50">
        <v>3</v>
      </c>
      <c r="J10" s="50">
        <v>3</v>
      </c>
      <c r="K10" s="50">
        <v>3</v>
      </c>
      <c r="L10" s="50">
        <v>3</v>
      </c>
      <c r="M10" s="53">
        <f>(1)/0.75</f>
        <v>1.3333333333333333</v>
      </c>
      <c r="N10" s="54">
        <v>3</v>
      </c>
      <c r="O10" s="50">
        <v>3</v>
      </c>
    </row>
    <row r="11" spans="1:15">
      <c r="A11" s="39"/>
      <c r="B11" s="55" t="s">
        <v>223</v>
      </c>
      <c r="C11" s="56">
        <f t="shared" ref="C11:G11" si="0">0.0625/C8</f>
        <v>0.10775862068965518</v>
      </c>
      <c r="D11" s="52">
        <f t="shared" si="0"/>
        <v>0.125</v>
      </c>
      <c r="E11" s="56">
        <f t="shared" si="0"/>
        <v>0.125</v>
      </c>
      <c r="F11" s="56">
        <f t="shared" si="0"/>
        <v>6.25E-2</v>
      </c>
      <c r="G11" s="56">
        <f t="shared" si="0"/>
        <v>6.25E-2</v>
      </c>
      <c r="H11" s="57">
        <f>0.0625/0.75</f>
        <v>8.3333333333333329E-2</v>
      </c>
      <c r="I11" s="56">
        <f t="shared" ref="I11:O11" si="1">0.0625/I8</f>
        <v>0.125</v>
      </c>
      <c r="J11" s="56">
        <f t="shared" si="1"/>
        <v>0.125</v>
      </c>
      <c r="K11" s="56">
        <f t="shared" si="1"/>
        <v>0.125</v>
      </c>
      <c r="L11" s="56">
        <f t="shared" si="1"/>
        <v>0.125</v>
      </c>
      <c r="M11" s="56">
        <f t="shared" si="1"/>
        <v>8.3333333333333329E-2</v>
      </c>
      <c r="N11" s="58">
        <f t="shared" si="1"/>
        <v>0.125</v>
      </c>
      <c r="O11" s="56">
        <f t="shared" si="1"/>
        <v>0.125</v>
      </c>
    </row>
    <row r="12" spans="1:15">
      <c r="B12" s="38" t="s">
        <v>224</v>
      </c>
      <c r="C12" s="38">
        <f t="shared" ref="C12:O12" si="2">C10*C8</f>
        <v>0.72499999999999998</v>
      </c>
      <c r="D12" s="40">
        <f t="shared" si="2"/>
        <v>1.5049999999999999</v>
      </c>
      <c r="E12" s="38">
        <f t="shared" si="2"/>
        <v>1.5</v>
      </c>
      <c r="F12" s="38">
        <f t="shared" si="2"/>
        <v>1.25</v>
      </c>
      <c r="G12" s="38">
        <f t="shared" si="2"/>
        <v>1.25</v>
      </c>
      <c r="H12" s="38">
        <f t="shared" si="2"/>
        <v>1</v>
      </c>
      <c r="I12" s="38">
        <f t="shared" si="2"/>
        <v>1.5</v>
      </c>
      <c r="J12" s="38">
        <f t="shared" si="2"/>
        <v>1.5</v>
      </c>
      <c r="K12" s="38">
        <f t="shared" si="2"/>
        <v>1.5</v>
      </c>
      <c r="L12" s="38">
        <f t="shared" si="2"/>
        <v>1.5</v>
      </c>
      <c r="M12" s="38">
        <f t="shared" si="2"/>
        <v>1</v>
      </c>
      <c r="N12" s="38">
        <f t="shared" si="2"/>
        <v>1.5</v>
      </c>
      <c r="O12" s="38">
        <f t="shared" si="2"/>
        <v>1.5</v>
      </c>
    </row>
    <row r="13" spans="1:15">
      <c r="B13" s="38" t="s">
        <v>225</v>
      </c>
      <c r="C13" s="38">
        <f t="shared" ref="C13:O13" si="3">C8*C11</f>
        <v>6.25E-2</v>
      </c>
      <c r="D13" s="40">
        <f t="shared" si="3"/>
        <v>6.25E-2</v>
      </c>
      <c r="E13" s="38">
        <f t="shared" si="3"/>
        <v>6.25E-2</v>
      </c>
      <c r="F13" s="38">
        <f t="shared" si="3"/>
        <v>6.25E-2</v>
      </c>
      <c r="G13" s="38">
        <f t="shared" si="3"/>
        <v>6.25E-2</v>
      </c>
      <c r="H13" s="38">
        <f t="shared" si="3"/>
        <v>6.25E-2</v>
      </c>
      <c r="I13" s="38">
        <f t="shared" si="3"/>
        <v>6.25E-2</v>
      </c>
      <c r="J13" s="38">
        <f t="shared" si="3"/>
        <v>6.25E-2</v>
      </c>
      <c r="K13" s="38">
        <f t="shared" si="3"/>
        <v>6.25E-2</v>
      </c>
      <c r="L13" s="38">
        <f t="shared" si="3"/>
        <v>6.25E-2</v>
      </c>
      <c r="M13" s="38">
        <f t="shared" si="3"/>
        <v>6.25E-2</v>
      </c>
      <c r="N13" s="38">
        <f t="shared" si="3"/>
        <v>6.25E-2</v>
      </c>
      <c r="O13" s="38">
        <f t="shared" si="3"/>
        <v>6.25E-2</v>
      </c>
    </row>
    <row r="14" spans="1:15">
      <c r="B14" s="38" t="s">
        <v>226</v>
      </c>
      <c r="C14" s="38">
        <f t="shared" ref="C14:O14" si="4">C12-C8</f>
        <v>0.14500000000000002</v>
      </c>
      <c r="D14" s="40">
        <f t="shared" si="4"/>
        <v>1.0049999999999999</v>
      </c>
      <c r="E14" s="38">
        <f t="shared" si="4"/>
        <v>1</v>
      </c>
      <c r="F14" s="38">
        <f t="shared" si="4"/>
        <v>0.25</v>
      </c>
      <c r="G14" s="38">
        <f t="shared" si="4"/>
        <v>0.25</v>
      </c>
      <c r="H14" s="38">
        <f t="shared" si="4"/>
        <v>0.25</v>
      </c>
      <c r="I14" s="38">
        <f t="shared" si="4"/>
        <v>1</v>
      </c>
      <c r="J14" s="38">
        <f t="shared" si="4"/>
        <v>1</v>
      </c>
      <c r="K14" s="38">
        <f t="shared" si="4"/>
        <v>1</v>
      </c>
      <c r="L14" s="38">
        <f t="shared" si="4"/>
        <v>1</v>
      </c>
      <c r="M14" s="38">
        <f t="shared" si="4"/>
        <v>0.25</v>
      </c>
      <c r="N14" s="38">
        <f t="shared" si="4"/>
        <v>1</v>
      </c>
      <c r="O14" s="38">
        <f t="shared" si="4"/>
        <v>1</v>
      </c>
    </row>
    <row r="15" spans="1:15">
      <c r="B15" s="38" t="s">
        <v>227</v>
      </c>
      <c r="C15" s="38">
        <f t="shared" ref="C15:O15" si="5">C14/C13</f>
        <v>2.3200000000000003</v>
      </c>
      <c r="D15" s="40">
        <f t="shared" si="5"/>
        <v>16.079999999999998</v>
      </c>
      <c r="E15" s="38">
        <f t="shared" si="5"/>
        <v>16</v>
      </c>
      <c r="F15" s="38">
        <f t="shared" si="5"/>
        <v>4</v>
      </c>
      <c r="G15" s="38">
        <f t="shared" si="5"/>
        <v>4</v>
      </c>
      <c r="H15" s="38">
        <f t="shared" si="5"/>
        <v>4</v>
      </c>
      <c r="I15" s="38">
        <f t="shared" si="5"/>
        <v>16</v>
      </c>
      <c r="J15" s="38">
        <f t="shared" si="5"/>
        <v>16</v>
      </c>
      <c r="K15" s="38">
        <f t="shared" si="5"/>
        <v>16</v>
      </c>
      <c r="L15" s="38">
        <f t="shared" si="5"/>
        <v>16</v>
      </c>
      <c r="M15" s="38">
        <f t="shared" si="5"/>
        <v>4</v>
      </c>
      <c r="N15" s="38">
        <f t="shared" si="5"/>
        <v>16</v>
      </c>
      <c r="O15" s="38">
        <f t="shared" si="5"/>
        <v>16</v>
      </c>
    </row>
    <row r="16" spans="1:15">
      <c r="B16" s="38" t="s">
        <v>228</v>
      </c>
      <c r="C16" s="38">
        <f t="shared" ref="C16:O16" si="6">SQRT(C14/C13)</f>
        <v>1.5231546211727818</v>
      </c>
      <c r="D16" s="40">
        <f t="shared" si="6"/>
        <v>4.0099875311526842</v>
      </c>
      <c r="E16" s="38">
        <f t="shared" si="6"/>
        <v>4</v>
      </c>
      <c r="F16" s="38">
        <f t="shared" si="6"/>
        <v>2</v>
      </c>
      <c r="G16" s="38">
        <f t="shared" si="6"/>
        <v>2</v>
      </c>
      <c r="H16" s="38">
        <f t="shared" si="6"/>
        <v>2</v>
      </c>
      <c r="I16" s="38">
        <f t="shared" si="6"/>
        <v>4</v>
      </c>
      <c r="J16" s="38">
        <f t="shared" si="6"/>
        <v>4</v>
      </c>
      <c r="K16" s="38">
        <f t="shared" si="6"/>
        <v>4</v>
      </c>
      <c r="L16" s="38">
        <f t="shared" si="6"/>
        <v>4</v>
      </c>
      <c r="M16" s="38">
        <f t="shared" si="6"/>
        <v>2</v>
      </c>
      <c r="N16" s="38">
        <f t="shared" si="6"/>
        <v>4</v>
      </c>
      <c r="O16" s="38">
        <f t="shared" si="6"/>
        <v>4</v>
      </c>
    </row>
    <row r="17" spans="1:15">
      <c r="B17" s="38" t="s">
        <v>229</v>
      </c>
      <c r="C17" s="38">
        <f t="shared" ref="C17:O17" si="7">0.905+0.783*C16-0.075*C15</f>
        <v>1.9236300683782885</v>
      </c>
      <c r="D17" s="40">
        <f t="shared" si="7"/>
        <v>2.8388202368925528</v>
      </c>
      <c r="E17" s="38">
        <f t="shared" si="7"/>
        <v>2.8369999999999997</v>
      </c>
      <c r="F17" s="38">
        <f t="shared" si="7"/>
        <v>2.1710000000000003</v>
      </c>
      <c r="G17" s="38">
        <f t="shared" si="7"/>
        <v>2.1710000000000003</v>
      </c>
      <c r="H17" s="38">
        <f t="shared" si="7"/>
        <v>2.1710000000000003</v>
      </c>
      <c r="I17" s="38">
        <f t="shared" si="7"/>
        <v>2.8369999999999997</v>
      </c>
      <c r="J17" s="38">
        <f t="shared" si="7"/>
        <v>2.8369999999999997</v>
      </c>
      <c r="K17" s="38">
        <f t="shared" si="7"/>
        <v>2.8369999999999997</v>
      </c>
      <c r="L17" s="38">
        <f t="shared" si="7"/>
        <v>2.8369999999999997</v>
      </c>
      <c r="M17" s="38">
        <f t="shared" si="7"/>
        <v>2.1710000000000003</v>
      </c>
      <c r="N17" s="38">
        <f t="shared" si="7"/>
        <v>2.8369999999999997</v>
      </c>
      <c r="O17" s="38">
        <f t="shared" si="7"/>
        <v>2.8369999999999997</v>
      </c>
    </row>
    <row r="18" spans="1:15">
      <c r="B18" s="38" t="s">
        <v>230</v>
      </c>
      <c r="C18" s="38">
        <f t="shared" ref="C18:O18" si="8">-0.437-1.969*C16+0.553*C15</f>
        <v>-2.1531314490892068</v>
      </c>
      <c r="D18" s="40">
        <f t="shared" si="8"/>
        <v>0.55957455116036314</v>
      </c>
      <c r="E18" s="38">
        <f t="shared" si="8"/>
        <v>0.53500000000000014</v>
      </c>
      <c r="F18" s="38">
        <f t="shared" si="8"/>
        <v>-2.1629999999999998</v>
      </c>
      <c r="G18" s="38">
        <f t="shared" si="8"/>
        <v>-2.1629999999999998</v>
      </c>
      <c r="H18" s="38">
        <f t="shared" si="8"/>
        <v>-2.1629999999999998</v>
      </c>
      <c r="I18" s="38">
        <f t="shared" si="8"/>
        <v>0.53500000000000014</v>
      </c>
      <c r="J18" s="38">
        <f t="shared" si="8"/>
        <v>0.53500000000000014</v>
      </c>
      <c r="K18" s="38">
        <f t="shared" si="8"/>
        <v>0.53500000000000014</v>
      </c>
      <c r="L18" s="38">
        <f t="shared" si="8"/>
        <v>0.53500000000000014</v>
      </c>
      <c r="M18" s="38">
        <f t="shared" si="8"/>
        <v>-2.1629999999999998</v>
      </c>
      <c r="N18" s="38">
        <f t="shared" si="8"/>
        <v>0.53500000000000014</v>
      </c>
      <c r="O18" s="38">
        <f t="shared" si="8"/>
        <v>0.53500000000000014</v>
      </c>
    </row>
    <row r="19" spans="1:15">
      <c r="B19" s="38" t="s">
        <v>231</v>
      </c>
      <c r="C19" s="38">
        <f t="shared" ref="C19:O19" si="9">1.557+1.073*C16-0.578*C15</f>
        <v>1.8503849085183945</v>
      </c>
      <c r="D19" s="40">
        <f t="shared" si="9"/>
        <v>-3.434523379073168</v>
      </c>
      <c r="E19" s="38">
        <f t="shared" si="9"/>
        <v>-3.3989999999999991</v>
      </c>
      <c r="F19" s="38">
        <f t="shared" si="9"/>
        <v>1.391</v>
      </c>
      <c r="G19" s="38">
        <f t="shared" si="9"/>
        <v>1.391</v>
      </c>
      <c r="H19" s="38">
        <f t="shared" si="9"/>
        <v>1.391</v>
      </c>
      <c r="I19" s="38">
        <f t="shared" si="9"/>
        <v>-3.3989999999999991</v>
      </c>
      <c r="J19" s="38">
        <f t="shared" si="9"/>
        <v>-3.3989999999999991</v>
      </c>
      <c r="K19" s="38">
        <f t="shared" si="9"/>
        <v>-3.3989999999999991</v>
      </c>
      <c r="L19" s="38">
        <f t="shared" si="9"/>
        <v>-3.3989999999999991</v>
      </c>
      <c r="M19" s="38">
        <f t="shared" si="9"/>
        <v>1.391</v>
      </c>
      <c r="N19" s="38">
        <f t="shared" si="9"/>
        <v>-3.3989999999999991</v>
      </c>
      <c r="O19" s="38">
        <f t="shared" si="9"/>
        <v>-3.3989999999999991</v>
      </c>
    </row>
    <row r="20" spans="1:15">
      <c r="B20" s="38" t="s">
        <v>232</v>
      </c>
      <c r="C20" s="38">
        <f t="shared" ref="C20:O20" si="10">-1.061+0.171*C16+0.086*C15</f>
        <v>-0.60102055977945423</v>
      </c>
      <c r="D20" s="40">
        <f t="shared" si="10"/>
        <v>1.0075878678271089</v>
      </c>
      <c r="E20" s="38">
        <f t="shared" si="10"/>
        <v>0.999</v>
      </c>
      <c r="F20" s="38">
        <f t="shared" si="10"/>
        <v>-0.37499999999999989</v>
      </c>
      <c r="G20" s="38">
        <f t="shared" si="10"/>
        <v>-0.37499999999999989</v>
      </c>
      <c r="H20" s="38">
        <f t="shared" si="10"/>
        <v>-0.37499999999999989</v>
      </c>
      <c r="I20" s="38">
        <f t="shared" si="10"/>
        <v>0.999</v>
      </c>
      <c r="J20" s="38">
        <f t="shared" si="10"/>
        <v>0.999</v>
      </c>
      <c r="K20" s="38">
        <f t="shared" si="10"/>
        <v>0.999</v>
      </c>
      <c r="L20" s="38">
        <f t="shared" si="10"/>
        <v>0.999</v>
      </c>
      <c r="M20" s="38">
        <f t="shared" si="10"/>
        <v>-0.37499999999999989</v>
      </c>
      <c r="N20" s="38">
        <f t="shared" si="10"/>
        <v>0.999</v>
      </c>
      <c r="O20" s="38">
        <f t="shared" si="10"/>
        <v>0.999</v>
      </c>
    </row>
    <row r="21" spans="1:15">
      <c r="B21" s="38" t="s">
        <v>233</v>
      </c>
      <c r="C21" s="38">
        <f t="shared" ref="C21:O21" si="11">C17+C18*((2*C14)/C12)+C19*(((2*C14)/C12)^2)+C20*(((2*C14)/C12)^3)</f>
        <v>1.3199737582796638</v>
      </c>
      <c r="D21" s="40">
        <f t="shared" si="11"/>
        <v>-0.13968397877178829</v>
      </c>
      <c r="E21" s="38">
        <f t="shared" si="11"/>
        <v>-0.12433333333333163</v>
      </c>
      <c r="F21" s="38">
        <f t="shared" si="11"/>
        <v>1.5043600000000004</v>
      </c>
      <c r="G21" s="38">
        <f t="shared" si="11"/>
        <v>1.5043600000000004</v>
      </c>
      <c r="H21" s="38">
        <f t="shared" si="11"/>
        <v>1.3903750000000004</v>
      </c>
      <c r="I21" s="38">
        <f t="shared" si="11"/>
        <v>-0.12433333333333163</v>
      </c>
      <c r="J21" s="38">
        <f t="shared" si="11"/>
        <v>-0.12433333333333163</v>
      </c>
      <c r="K21" s="38">
        <f t="shared" si="11"/>
        <v>-0.12433333333333163</v>
      </c>
      <c r="L21" s="38">
        <f t="shared" si="11"/>
        <v>-0.12433333333333163</v>
      </c>
      <c r="M21" s="38">
        <f t="shared" si="11"/>
        <v>1.3903750000000004</v>
      </c>
      <c r="N21" s="38">
        <f t="shared" si="11"/>
        <v>-0.12433333333333163</v>
      </c>
      <c r="O21" s="38">
        <f t="shared" si="11"/>
        <v>-0.12433333333333163</v>
      </c>
    </row>
    <row r="22" spans="1:15">
      <c r="B22" s="59" t="s">
        <v>234</v>
      </c>
      <c r="C22" s="60">
        <f t="shared" ref="C22:O22" si="12">1/(1+(C33/SQRT(C13)))</f>
        <v>0.94553706505294954</v>
      </c>
      <c r="D22" s="61">
        <f t="shared" si="12"/>
        <v>0.94553706505294954</v>
      </c>
      <c r="E22" s="60">
        <f t="shared" si="12"/>
        <v>0.94553706505294954</v>
      </c>
      <c r="F22" s="60">
        <f t="shared" si="12"/>
        <v>0.94553706505294954</v>
      </c>
      <c r="G22" s="60">
        <f t="shared" si="12"/>
        <v>0.94553706505294954</v>
      </c>
      <c r="H22" s="60">
        <f t="shared" si="12"/>
        <v>0.94553706505294954</v>
      </c>
      <c r="I22" s="60">
        <f t="shared" si="12"/>
        <v>0.94553706505294954</v>
      </c>
      <c r="J22" s="60">
        <f t="shared" si="12"/>
        <v>0.94553706505294954</v>
      </c>
      <c r="K22" s="60">
        <f t="shared" si="12"/>
        <v>0.94553706505294954</v>
      </c>
      <c r="L22" s="60">
        <f t="shared" si="12"/>
        <v>0.94553706505294954</v>
      </c>
      <c r="M22" s="60">
        <f t="shared" si="12"/>
        <v>0.94553706505294954</v>
      </c>
      <c r="N22" s="62">
        <f t="shared" si="12"/>
        <v>0.94553706505294954</v>
      </c>
      <c r="O22" s="60">
        <f t="shared" si="12"/>
        <v>0.94553706505294954</v>
      </c>
    </row>
    <row r="23" spans="1:15">
      <c r="B23" s="59" t="s">
        <v>235</v>
      </c>
      <c r="C23" s="58">
        <f t="shared" ref="C23:O23" si="13">ABS(1+C22*(C21-1))</f>
        <v>1.3025470482977153</v>
      </c>
      <c r="D23" s="52">
        <f t="shared" si="13"/>
        <v>7.76134443757448E-2</v>
      </c>
      <c r="E23" s="58">
        <f t="shared" si="13"/>
        <v>6.3098840141198043E-2</v>
      </c>
      <c r="F23" s="58">
        <f t="shared" si="13"/>
        <v>1.476891074130106</v>
      </c>
      <c r="G23" s="58">
        <f t="shared" si="13"/>
        <v>1.476891074130106</v>
      </c>
      <c r="H23" s="58">
        <f t="shared" si="13"/>
        <v>1.3691140317700454</v>
      </c>
      <c r="I23" s="58">
        <f t="shared" si="13"/>
        <v>6.3098840141198043E-2</v>
      </c>
      <c r="J23" s="58">
        <f t="shared" si="13"/>
        <v>6.3098840141198043E-2</v>
      </c>
      <c r="K23" s="58">
        <f t="shared" si="13"/>
        <v>6.3098840141198043E-2</v>
      </c>
      <c r="L23" s="58">
        <f t="shared" si="13"/>
        <v>6.3098840141198043E-2</v>
      </c>
      <c r="M23" s="58">
        <f t="shared" si="13"/>
        <v>1.3691140317700454</v>
      </c>
      <c r="N23" s="58">
        <f t="shared" si="13"/>
        <v>6.3098840141198043E-2</v>
      </c>
      <c r="O23" s="58">
        <f t="shared" si="13"/>
        <v>6.3098840141198043E-2</v>
      </c>
    </row>
    <row r="24" spans="1:15">
      <c r="B24" s="38" t="s">
        <v>236</v>
      </c>
      <c r="C24" s="63" t="e">
        <f t="shared" ref="C24:O24" ca="1" si="14">IFS(
AND(C15&gt;=0.1,C15&lt;2), 0.947+1.206*C16 - 0.131*C15,
AND(C15&gt;2,C15&lt;20), 1.232+0.832*C16-0.008*C15,
C15&lt;0.1,"",
C15&gt;20,""
)</f>
        <v>#NAME?</v>
      </c>
      <c r="D24" s="64" t="e">
        <f t="shared" ca="1" si="14"/>
        <v>#NAME?</v>
      </c>
      <c r="E24" s="63" t="e">
        <f t="shared" ca="1" si="14"/>
        <v>#NAME?</v>
      </c>
      <c r="F24" s="63" t="e">
        <f t="shared" ca="1" si="14"/>
        <v>#NAME?</v>
      </c>
      <c r="G24" s="63" t="e">
        <f t="shared" ca="1" si="14"/>
        <v>#NAME?</v>
      </c>
      <c r="H24" s="63" t="e">
        <f t="shared" ca="1" si="14"/>
        <v>#NAME?</v>
      </c>
      <c r="I24" s="63" t="e">
        <f t="shared" ca="1" si="14"/>
        <v>#NAME?</v>
      </c>
      <c r="J24" s="63" t="e">
        <f t="shared" ca="1" si="14"/>
        <v>#NAME?</v>
      </c>
      <c r="K24" s="63" t="e">
        <f t="shared" ca="1" si="14"/>
        <v>#NAME?</v>
      </c>
      <c r="L24" s="63" t="e">
        <f t="shared" ca="1" si="14"/>
        <v>#NAME?</v>
      </c>
      <c r="M24" s="63" t="e">
        <f t="shared" ca="1" si="14"/>
        <v>#NAME?</v>
      </c>
      <c r="N24" s="65" t="e">
        <f t="shared" ca="1" si="14"/>
        <v>#NAME?</v>
      </c>
      <c r="O24" s="63" t="e">
        <f t="shared" ca="1" si="14"/>
        <v>#NAME?</v>
      </c>
    </row>
    <row r="25" spans="1:15">
      <c r="B25" s="38" t="s">
        <v>237</v>
      </c>
      <c r="C25" s="58" t="e">
        <f t="shared" ref="C25:O25" ca="1" si="15">IFS(
AND(C15&gt;0.1,C15&lt;2), 0.022+3.405*C16 +0.915*C15,
AND(C15&gt;2,C15&lt;20), -3.813+0.968*C16-0.26*C15,
C15&lt;0.1,"",
C15&gt;20,""
)</f>
        <v>#NAME?</v>
      </c>
      <c r="D25" s="52" t="e">
        <f t="shared" ca="1" si="15"/>
        <v>#NAME?</v>
      </c>
      <c r="E25" s="58" t="e">
        <f t="shared" ca="1" si="15"/>
        <v>#NAME?</v>
      </c>
      <c r="F25" s="58" t="e">
        <f t="shared" ca="1" si="15"/>
        <v>#NAME?</v>
      </c>
      <c r="G25" s="58" t="e">
        <f t="shared" ca="1" si="15"/>
        <v>#NAME?</v>
      </c>
      <c r="H25" s="58" t="e">
        <f t="shared" ca="1" si="15"/>
        <v>#NAME?</v>
      </c>
      <c r="I25" s="58" t="e">
        <f t="shared" ca="1" si="15"/>
        <v>#NAME?</v>
      </c>
      <c r="J25" s="58" t="e">
        <f t="shared" ca="1" si="15"/>
        <v>#NAME?</v>
      </c>
      <c r="K25" s="58" t="e">
        <f t="shared" ca="1" si="15"/>
        <v>#NAME?</v>
      </c>
      <c r="L25" s="58" t="e">
        <f t="shared" ca="1" si="15"/>
        <v>#NAME?</v>
      </c>
      <c r="M25" s="58" t="e">
        <f t="shared" ca="1" si="15"/>
        <v>#NAME?</v>
      </c>
      <c r="N25" s="58" t="e">
        <f t="shared" ca="1" si="15"/>
        <v>#NAME?</v>
      </c>
      <c r="O25" s="58" t="e">
        <f t="shared" ca="1" si="15"/>
        <v>#NAME?</v>
      </c>
    </row>
    <row r="26" spans="1:15">
      <c r="B26" s="38" t="s">
        <v>238</v>
      </c>
      <c r="C26" s="58" t="e">
        <f t="shared" ref="C26:O26" ca="1" si="16">IFS(
AND(C15&gt;0.1,C15&lt;2), 0.869+1.777*C16 - 0.555*C15,
AND(C15&gt;2,C15&lt;20), 7.423-4.868*C16+0.869*C15,
C15&lt;0.1,"",
C15&gt;20,""
)</f>
        <v>#NAME?</v>
      </c>
      <c r="D26" s="52" t="e">
        <f t="shared" ca="1" si="16"/>
        <v>#NAME?</v>
      </c>
      <c r="E26" s="58" t="e">
        <f t="shared" ca="1" si="16"/>
        <v>#NAME?</v>
      </c>
      <c r="F26" s="58" t="e">
        <f t="shared" ca="1" si="16"/>
        <v>#NAME?</v>
      </c>
      <c r="G26" s="58" t="e">
        <f t="shared" ca="1" si="16"/>
        <v>#NAME?</v>
      </c>
      <c r="H26" s="58" t="e">
        <f t="shared" ca="1" si="16"/>
        <v>#NAME?</v>
      </c>
      <c r="I26" s="58" t="e">
        <f t="shared" ca="1" si="16"/>
        <v>#NAME?</v>
      </c>
      <c r="J26" s="58" t="e">
        <f t="shared" ca="1" si="16"/>
        <v>#NAME?</v>
      </c>
      <c r="K26" s="58" t="e">
        <f t="shared" ca="1" si="16"/>
        <v>#NAME?</v>
      </c>
      <c r="L26" s="58" t="e">
        <f t="shared" ca="1" si="16"/>
        <v>#NAME?</v>
      </c>
      <c r="M26" s="58" t="e">
        <f t="shared" ca="1" si="16"/>
        <v>#NAME?</v>
      </c>
      <c r="N26" s="58" t="e">
        <f t="shared" ca="1" si="16"/>
        <v>#NAME?</v>
      </c>
      <c r="O26" s="58" t="e">
        <f t="shared" ca="1" si="16"/>
        <v>#NAME?</v>
      </c>
    </row>
    <row r="27" spans="1:15">
      <c r="B27" s="38" t="s">
        <v>239</v>
      </c>
      <c r="C27" s="58" t="e">
        <f t="shared" ref="C27:O27" ca="1" si="17">IFS(
AND(C15&gt;0.1,C15&lt;2), -0.81+0.422*C16 - 0.26*C15,
AND(C15&gt;2,C15&lt;20), -3.839+3.07*C16-0.6*C15,
C15&lt;0.1,"",
C15&gt;20,""
)</f>
        <v>#NAME?</v>
      </c>
      <c r="D27" s="52" t="e">
        <f t="shared" ca="1" si="17"/>
        <v>#NAME?</v>
      </c>
      <c r="E27" s="58" t="e">
        <f t="shared" ca="1" si="17"/>
        <v>#NAME?</v>
      </c>
      <c r="F27" s="58" t="e">
        <f t="shared" ca="1" si="17"/>
        <v>#NAME?</v>
      </c>
      <c r="G27" s="58" t="e">
        <f t="shared" ca="1" si="17"/>
        <v>#NAME?</v>
      </c>
      <c r="H27" s="58" t="e">
        <f t="shared" ca="1" si="17"/>
        <v>#NAME?</v>
      </c>
      <c r="I27" s="58" t="e">
        <f t="shared" ca="1" si="17"/>
        <v>#NAME?</v>
      </c>
      <c r="J27" s="58" t="e">
        <f t="shared" ca="1" si="17"/>
        <v>#NAME?</v>
      </c>
      <c r="K27" s="58" t="e">
        <f t="shared" ca="1" si="17"/>
        <v>#NAME?</v>
      </c>
      <c r="L27" s="58" t="e">
        <f t="shared" ca="1" si="17"/>
        <v>#NAME?</v>
      </c>
      <c r="M27" s="58" t="e">
        <f t="shared" ca="1" si="17"/>
        <v>#NAME?</v>
      </c>
      <c r="N27" s="58" t="e">
        <f t="shared" ca="1" si="17"/>
        <v>#NAME?</v>
      </c>
      <c r="O27" s="58" t="e">
        <f t="shared" ca="1" si="17"/>
        <v>#NAME?</v>
      </c>
    </row>
    <row r="28" spans="1:15">
      <c r="B28" s="51" t="s">
        <v>234</v>
      </c>
      <c r="C28" s="60">
        <f t="shared" ref="C28:O28" si="18">1/(1+(C34/SQRT(C13)))</f>
        <v>0.92455621301775159</v>
      </c>
      <c r="D28" s="61">
        <f t="shared" si="18"/>
        <v>0.92455621301775159</v>
      </c>
      <c r="E28" s="60">
        <f t="shared" si="18"/>
        <v>0.92455621301775159</v>
      </c>
      <c r="F28" s="60">
        <f t="shared" si="18"/>
        <v>0.92455621301775159</v>
      </c>
      <c r="G28" s="60">
        <f t="shared" si="18"/>
        <v>0.92455621301775159</v>
      </c>
      <c r="H28" s="60">
        <f t="shared" si="18"/>
        <v>0.92455621301775159</v>
      </c>
      <c r="I28" s="60">
        <f t="shared" si="18"/>
        <v>0.92455621301775159</v>
      </c>
      <c r="J28" s="60">
        <f t="shared" si="18"/>
        <v>0.92455621301775159</v>
      </c>
      <c r="K28" s="60">
        <f t="shared" si="18"/>
        <v>0.92455621301775159</v>
      </c>
      <c r="L28" s="60">
        <f t="shared" si="18"/>
        <v>0.92455621301775159</v>
      </c>
      <c r="M28" s="60">
        <f t="shared" si="18"/>
        <v>0.92455621301775159</v>
      </c>
      <c r="N28" s="62">
        <f t="shared" si="18"/>
        <v>0.92455621301775159</v>
      </c>
      <c r="O28" s="60">
        <f t="shared" si="18"/>
        <v>0.92455621301775159</v>
      </c>
    </row>
    <row r="29" spans="1:15">
      <c r="B29" s="51" t="s">
        <v>240</v>
      </c>
      <c r="C29" s="58" t="e">
        <f t="shared" ref="C29:O29" ca="1" si="19">C24+C25*((2*C14)/C12)+C26*(((2*C14)/C12)^2)+C27*(((2*C14)/C12)^3)</f>
        <v>#NAME?</v>
      </c>
      <c r="D29" s="52" t="e">
        <f t="shared" ca="1" si="19"/>
        <v>#NAME?</v>
      </c>
      <c r="E29" s="58" t="e">
        <f t="shared" ca="1" si="19"/>
        <v>#NAME?</v>
      </c>
      <c r="F29" s="58" t="e">
        <f t="shared" ca="1" si="19"/>
        <v>#NAME?</v>
      </c>
      <c r="G29" s="58" t="e">
        <f t="shared" ca="1" si="19"/>
        <v>#NAME?</v>
      </c>
      <c r="H29" s="58" t="e">
        <f t="shared" ca="1" si="19"/>
        <v>#NAME?</v>
      </c>
      <c r="I29" s="58" t="e">
        <f t="shared" ca="1" si="19"/>
        <v>#NAME?</v>
      </c>
      <c r="J29" s="58" t="e">
        <f t="shared" ca="1" si="19"/>
        <v>#NAME?</v>
      </c>
      <c r="K29" s="58" t="e">
        <f t="shared" ca="1" si="19"/>
        <v>#NAME?</v>
      </c>
      <c r="L29" s="58" t="e">
        <f t="shared" ca="1" si="19"/>
        <v>#NAME?</v>
      </c>
      <c r="M29" s="58" t="e">
        <f t="shared" ca="1" si="19"/>
        <v>#NAME?</v>
      </c>
      <c r="N29" s="58" t="e">
        <f t="shared" ca="1" si="19"/>
        <v>#NAME?</v>
      </c>
      <c r="O29" s="58" t="e">
        <f t="shared" ca="1" si="19"/>
        <v>#NAME?</v>
      </c>
    </row>
    <row r="30" spans="1:15">
      <c r="B30" s="51" t="s">
        <v>241</v>
      </c>
      <c r="C30" s="58" t="e">
        <f t="shared" ref="C30:O30" ca="1" si="20">ABS(1+C28*(C29-1))</f>
        <v>#NAME?</v>
      </c>
      <c r="D30" s="52" t="e">
        <f t="shared" ca="1" si="20"/>
        <v>#NAME?</v>
      </c>
      <c r="E30" s="58" t="e">
        <f t="shared" ca="1" si="20"/>
        <v>#NAME?</v>
      </c>
      <c r="F30" s="58" t="e">
        <f t="shared" ca="1" si="20"/>
        <v>#NAME?</v>
      </c>
      <c r="G30" s="58" t="e">
        <f t="shared" ca="1" si="20"/>
        <v>#NAME?</v>
      </c>
      <c r="H30" s="58" t="e">
        <f t="shared" ca="1" si="20"/>
        <v>#NAME?</v>
      </c>
      <c r="I30" s="58" t="e">
        <f t="shared" ca="1" si="20"/>
        <v>#NAME?</v>
      </c>
      <c r="J30" s="58" t="e">
        <f t="shared" ca="1" si="20"/>
        <v>#NAME?</v>
      </c>
      <c r="K30" s="58" t="e">
        <f t="shared" ca="1" si="20"/>
        <v>#NAME?</v>
      </c>
      <c r="L30" s="58" t="e">
        <f t="shared" ca="1" si="20"/>
        <v>#NAME?</v>
      </c>
      <c r="M30" s="58" t="e">
        <f t="shared" ca="1" si="20"/>
        <v>#NAME?</v>
      </c>
      <c r="N30" s="58" t="e">
        <f t="shared" ca="1" si="20"/>
        <v>#NAME?</v>
      </c>
      <c r="O30" s="58" t="e">
        <f t="shared" ca="1" si="20"/>
        <v>#NAME?</v>
      </c>
    </row>
    <row r="31" spans="1:15" ht="15.75" customHeight="1">
      <c r="A31" s="66" t="s">
        <v>242</v>
      </c>
      <c r="B31" s="67"/>
      <c r="C31" s="68"/>
      <c r="D31" s="49"/>
      <c r="E31" s="49"/>
      <c r="F31" s="49"/>
      <c r="G31" s="49"/>
      <c r="H31" s="49"/>
      <c r="I31" s="49"/>
      <c r="J31" s="49"/>
      <c r="K31" s="49"/>
      <c r="L31" s="49"/>
      <c r="M31" s="49"/>
      <c r="N31" s="49"/>
      <c r="O31" s="49"/>
    </row>
    <row r="32" spans="1:15">
      <c r="A32" s="69" t="s">
        <v>134</v>
      </c>
      <c r="B32" s="38" t="s">
        <v>134</v>
      </c>
      <c r="C32" s="58">
        <f t="shared" ref="C32:O32" si="21">0.035</f>
        <v>3.5000000000000003E-2</v>
      </c>
      <c r="D32" s="52">
        <f t="shared" si="21"/>
        <v>3.5000000000000003E-2</v>
      </c>
      <c r="E32" s="58">
        <f t="shared" si="21"/>
        <v>3.5000000000000003E-2</v>
      </c>
      <c r="F32" s="58">
        <f t="shared" si="21"/>
        <v>3.5000000000000003E-2</v>
      </c>
      <c r="G32" s="58">
        <f t="shared" si="21"/>
        <v>3.5000000000000003E-2</v>
      </c>
      <c r="H32" s="70">
        <f t="shared" si="21"/>
        <v>3.5000000000000003E-2</v>
      </c>
      <c r="I32" s="58">
        <f t="shared" si="21"/>
        <v>3.5000000000000003E-2</v>
      </c>
      <c r="J32" s="58">
        <f t="shared" si="21"/>
        <v>3.5000000000000003E-2</v>
      </c>
      <c r="K32" s="58">
        <f t="shared" si="21"/>
        <v>3.5000000000000003E-2</v>
      </c>
      <c r="L32" s="58">
        <f t="shared" si="21"/>
        <v>3.5000000000000003E-2</v>
      </c>
      <c r="M32" s="58">
        <f t="shared" si="21"/>
        <v>3.5000000000000003E-2</v>
      </c>
      <c r="N32" s="58">
        <f t="shared" si="21"/>
        <v>3.5000000000000003E-2</v>
      </c>
      <c r="O32" s="58">
        <f t="shared" si="21"/>
        <v>3.5000000000000003E-2</v>
      </c>
    </row>
    <row r="33" spans="1:15">
      <c r="A33" s="69" t="s">
        <v>243</v>
      </c>
      <c r="B33" s="38" t="s">
        <v>244</v>
      </c>
      <c r="C33" s="58">
        <f t="shared" ref="C33:O33" si="22">0.19-2.51*(10^-3)*200+1.35*(10^-5)*(200)^2-2.67*(10^-8)*(200)^3</f>
        <v>1.4400000000000135E-2</v>
      </c>
      <c r="D33" s="52">
        <f t="shared" si="22"/>
        <v>1.4400000000000135E-2</v>
      </c>
      <c r="E33" s="58">
        <f t="shared" si="22"/>
        <v>1.4400000000000135E-2</v>
      </c>
      <c r="F33" s="58">
        <f t="shared" si="22"/>
        <v>1.4400000000000135E-2</v>
      </c>
      <c r="G33" s="58">
        <f t="shared" si="22"/>
        <v>1.4400000000000135E-2</v>
      </c>
      <c r="H33" s="70">
        <f t="shared" si="22"/>
        <v>1.4400000000000135E-2</v>
      </c>
      <c r="I33" s="58">
        <f t="shared" si="22"/>
        <v>1.4400000000000135E-2</v>
      </c>
      <c r="J33" s="58">
        <f t="shared" si="22"/>
        <v>1.4400000000000135E-2</v>
      </c>
      <c r="K33" s="58">
        <f t="shared" si="22"/>
        <v>1.4400000000000135E-2</v>
      </c>
      <c r="L33" s="58">
        <f t="shared" si="22"/>
        <v>1.4400000000000135E-2</v>
      </c>
      <c r="M33" s="58">
        <f t="shared" si="22"/>
        <v>1.4400000000000135E-2</v>
      </c>
      <c r="N33" s="58">
        <f t="shared" si="22"/>
        <v>1.4400000000000135E-2</v>
      </c>
      <c r="O33" s="58">
        <f t="shared" si="22"/>
        <v>1.4400000000000135E-2</v>
      </c>
    </row>
    <row r="34" spans="1:15">
      <c r="A34" s="71" t="s">
        <v>245</v>
      </c>
      <c r="B34" s="38" t="s">
        <v>244</v>
      </c>
      <c r="C34" s="58">
        <f t="shared" ref="C34:O34" si="23">0.246-3.08*10^-3*200+1.51*10^-5*200^2-2.67*10^-8*200^3</f>
        <v>2.0399999999999974E-2</v>
      </c>
      <c r="D34" s="52">
        <f t="shared" si="23"/>
        <v>2.0399999999999974E-2</v>
      </c>
      <c r="E34" s="58">
        <f t="shared" si="23"/>
        <v>2.0399999999999974E-2</v>
      </c>
      <c r="F34" s="58">
        <f t="shared" si="23"/>
        <v>2.0399999999999974E-2</v>
      </c>
      <c r="G34" s="58">
        <f t="shared" si="23"/>
        <v>2.0399999999999974E-2</v>
      </c>
      <c r="H34" s="70">
        <f t="shared" si="23"/>
        <v>2.0399999999999974E-2</v>
      </c>
      <c r="I34" s="58">
        <f t="shared" si="23"/>
        <v>2.0399999999999974E-2</v>
      </c>
      <c r="J34" s="58">
        <f t="shared" si="23"/>
        <v>2.0399999999999974E-2</v>
      </c>
      <c r="K34" s="58">
        <f t="shared" si="23"/>
        <v>2.0399999999999974E-2</v>
      </c>
      <c r="L34" s="58">
        <f t="shared" si="23"/>
        <v>2.0399999999999974E-2</v>
      </c>
      <c r="M34" s="58">
        <f t="shared" si="23"/>
        <v>2.0399999999999974E-2</v>
      </c>
      <c r="N34" s="58">
        <f t="shared" si="23"/>
        <v>2.0399999999999974E-2</v>
      </c>
      <c r="O34" s="58">
        <f t="shared" si="23"/>
        <v>2.0399999999999974E-2</v>
      </c>
    </row>
    <row r="35" spans="1:15">
      <c r="A35" s="69" t="s">
        <v>246</v>
      </c>
      <c r="B35" s="38" t="s">
        <v>234</v>
      </c>
      <c r="C35" s="58">
        <f t="shared" ref="C35:O35" si="24">1/(1+(C33/SQRT(C32)))</f>
        <v>0.92852990406944513</v>
      </c>
      <c r="D35" s="52">
        <f t="shared" si="24"/>
        <v>0.92852990406944513</v>
      </c>
      <c r="E35" s="58">
        <f t="shared" si="24"/>
        <v>0.92852990406944513</v>
      </c>
      <c r="F35" s="58">
        <f t="shared" si="24"/>
        <v>0.92852990406944513</v>
      </c>
      <c r="G35" s="58">
        <f t="shared" si="24"/>
        <v>0.92852990406944513</v>
      </c>
      <c r="H35" s="70">
        <f t="shared" si="24"/>
        <v>0.92852990406944513</v>
      </c>
      <c r="I35" s="58">
        <f t="shared" si="24"/>
        <v>0.92852990406944513</v>
      </c>
      <c r="J35" s="58">
        <f t="shared" si="24"/>
        <v>0.92852990406944513</v>
      </c>
      <c r="K35" s="58">
        <f t="shared" si="24"/>
        <v>0.92852990406944513</v>
      </c>
      <c r="L35" s="58">
        <f t="shared" si="24"/>
        <v>0.92852990406944513</v>
      </c>
      <c r="M35" s="58">
        <f t="shared" si="24"/>
        <v>0.92852990406944513</v>
      </c>
      <c r="N35" s="58">
        <f t="shared" si="24"/>
        <v>0.92852990406944513</v>
      </c>
      <c r="O35" s="58">
        <f t="shared" si="24"/>
        <v>0.92852990406944513</v>
      </c>
    </row>
    <row r="36" spans="1:15">
      <c r="A36" s="69" t="s">
        <v>247</v>
      </c>
      <c r="B36" s="38" t="s">
        <v>234</v>
      </c>
      <c r="C36" s="58">
        <f t="shared" ref="C36:O36" si="25">1/(1+(C34/SQRT(C32)))</f>
        <v>0.90167862983088598</v>
      </c>
      <c r="D36" s="52">
        <f t="shared" si="25"/>
        <v>0.90167862983088598</v>
      </c>
      <c r="E36" s="58">
        <f t="shared" si="25"/>
        <v>0.90167862983088598</v>
      </c>
      <c r="F36" s="58">
        <f t="shared" si="25"/>
        <v>0.90167862983088598</v>
      </c>
      <c r="G36" s="58">
        <f t="shared" si="25"/>
        <v>0.90167862983088598</v>
      </c>
      <c r="H36" s="70">
        <f t="shared" si="25"/>
        <v>0.90167862983088598</v>
      </c>
      <c r="I36" s="58">
        <f t="shared" si="25"/>
        <v>0.90167862983088598</v>
      </c>
      <c r="J36" s="58">
        <f t="shared" si="25"/>
        <v>0.90167862983088598</v>
      </c>
      <c r="K36" s="58">
        <f t="shared" si="25"/>
        <v>0.90167862983088598</v>
      </c>
      <c r="L36" s="58">
        <f t="shared" si="25"/>
        <v>0.90167862983088598</v>
      </c>
      <c r="M36" s="58">
        <f t="shared" si="25"/>
        <v>0.90167862983088598</v>
      </c>
      <c r="N36" s="58">
        <f t="shared" si="25"/>
        <v>0.90167862983088598</v>
      </c>
      <c r="O36" s="58">
        <f t="shared" si="25"/>
        <v>0.90167862983088598</v>
      </c>
    </row>
    <row r="37" spans="1:15">
      <c r="A37" s="72" t="s">
        <v>248</v>
      </c>
      <c r="B37" s="38" t="s">
        <v>235</v>
      </c>
      <c r="C37" s="58">
        <f t="shared" ref="C37:G37" si="26">1+C35*(3-1)</f>
        <v>2.8570598081388905</v>
      </c>
      <c r="D37" s="52">
        <f t="shared" si="26"/>
        <v>2.8570598081388905</v>
      </c>
      <c r="E37" s="58">
        <f t="shared" si="26"/>
        <v>2.8570598081388905</v>
      </c>
      <c r="F37" s="58">
        <f t="shared" si="26"/>
        <v>2.8570598081388905</v>
      </c>
      <c r="G37" s="58">
        <f t="shared" si="26"/>
        <v>2.8570598081388905</v>
      </c>
      <c r="H37" s="70">
        <v>1</v>
      </c>
      <c r="I37" s="58">
        <f t="shared" ref="I37:O37" si="27">1+I35*(3-1)</f>
        <v>2.8570598081388905</v>
      </c>
      <c r="J37" s="58">
        <f t="shared" si="27"/>
        <v>2.8570598081388905</v>
      </c>
      <c r="K37" s="58">
        <f t="shared" si="27"/>
        <v>2.8570598081388905</v>
      </c>
      <c r="L37" s="58">
        <f t="shared" si="27"/>
        <v>2.8570598081388905</v>
      </c>
      <c r="M37" s="58">
        <f t="shared" si="27"/>
        <v>2.8570598081388905</v>
      </c>
      <c r="N37" s="58">
        <f t="shared" si="27"/>
        <v>2.8570598081388905</v>
      </c>
      <c r="O37" s="58">
        <f t="shared" si="27"/>
        <v>2.8570598081388905</v>
      </c>
    </row>
    <row r="38" spans="1:15">
      <c r="A38" s="72" t="s">
        <v>249</v>
      </c>
      <c r="B38" s="38" t="s">
        <v>241</v>
      </c>
      <c r="C38" s="58">
        <f t="shared" ref="C38:O38" si="28">1+C36*(5-1)</f>
        <v>4.6067145193235444</v>
      </c>
      <c r="D38" s="52">
        <f t="shared" si="28"/>
        <v>4.6067145193235444</v>
      </c>
      <c r="E38" s="58">
        <f t="shared" si="28"/>
        <v>4.6067145193235444</v>
      </c>
      <c r="F38" s="58">
        <f t="shared" si="28"/>
        <v>4.6067145193235444</v>
      </c>
      <c r="G38" s="58">
        <f t="shared" si="28"/>
        <v>4.6067145193235444</v>
      </c>
      <c r="H38" s="70">
        <f t="shared" si="28"/>
        <v>4.6067145193235444</v>
      </c>
      <c r="I38" s="58">
        <f t="shared" si="28"/>
        <v>4.6067145193235444</v>
      </c>
      <c r="J38" s="58">
        <f t="shared" si="28"/>
        <v>4.6067145193235444</v>
      </c>
      <c r="K38" s="58">
        <f t="shared" si="28"/>
        <v>4.6067145193235444</v>
      </c>
      <c r="L38" s="58">
        <f t="shared" si="28"/>
        <v>4.6067145193235444</v>
      </c>
      <c r="M38" s="58">
        <f t="shared" si="28"/>
        <v>4.6067145193235444</v>
      </c>
      <c r="N38" s="58">
        <f t="shared" si="28"/>
        <v>4.6067145193235444</v>
      </c>
      <c r="O38" s="58">
        <f t="shared" si="28"/>
        <v>4.6067145193235444</v>
      </c>
    </row>
    <row r="39" spans="1:15" ht="15">
      <c r="A39" s="48" t="s">
        <v>250</v>
      </c>
      <c r="B39" s="49"/>
      <c r="C39" s="49"/>
      <c r="D39" s="49"/>
      <c r="E39" s="49"/>
      <c r="F39" s="49"/>
      <c r="G39" s="49"/>
      <c r="H39" s="49"/>
      <c r="I39" s="49"/>
      <c r="J39" s="49"/>
      <c r="K39" s="49"/>
      <c r="L39" s="49"/>
      <c r="M39" s="49"/>
      <c r="N39" s="49"/>
      <c r="O39" s="49"/>
    </row>
    <row r="40" spans="1:15" ht="14.25">
      <c r="A40" s="73" t="s">
        <v>251</v>
      </c>
      <c r="B40" s="38" t="s">
        <v>134</v>
      </c>
      <c r="C40" s="38">
        <v>3.5000000000000003E-2</v>
      </c>
      <c r="D40" s="40">
        <v>3.5000000000000003E-2</v>
      </c>
      <c r="E40" s="38">
        <v>3.5000000000000003E-2</v>
      </c>
      <c r="F40" s="38">
        <v>3.5000000000000003E-2</v>
      </c>
      <c r="G40" s="38">
        <v>3.5000000000000003E-2</v>
      </c>
      <c r="H40" s="46">
        <v>3.5000000000000003E-2</v>
      </c>
      <c r="I40" s="38">
        <v>3.5000000000000003E-2</v>
      </c>
      <c r="J40" s="38">
        <v>3.5000000000000003E-2</v>
      </c>
      <c r="K40" s="38">
        <v>3.5000000000000003E-2</v>
      </c>
      <c r="L40" s="38">
        <v>3.5000000000000003E-2</v>
      </c>
      <c r="M40" s="38">
        <v>3.5000000000000003E-2</v>
      </c>
      <c r="N40" s="38">
        <v>3.5000000000000003E-2</v>
      </c>
      <c r="O40" s="38">
        <v>3.5000000000000003E-2</v>
      </c>
    </row>
    <row r="41" spans="1:15" ht="57">
      <c r="A41" s="69" t="s">
        <v>252</v>
      </c>
      <c r="B41" s="38" t="s">
        <v>244</v>
      </c>
      <c r="C41" s="38">
        <f t="shared" ref="C41:O41" si="29">0.19-2.51*(10^-3)*200+1.35*(10^-5)*(200)^2-2.67*(10^-8)*(200)^3</f>
        <v>1.4400000000000135E-2</v>
      </c>
      <c r="D41" s="40">
        <f t="shared" si="29"/>
        <v>1.4400000000000135E-2</v>
      </c>
      <c r="E41" s="38">
        <f t="shared" si="29"/>
        <v>1.4400000000000135E-2</v>
      </c>
      <c r="F41" s="38">
        <f t="shared" si="29"/>
        <v>1.4400000000000135E-2</v>
      </c>
      <c r="G41" s="38">
        <f t="shared" si="29"/>
        <v>1.4400000000000135E-2</v>
      </c>
      <c r="H41" s="46">
        <f t="shared" si="29"/>
        <v>1.4400000000000135E-2</v>
      </c>
      <c r="I41" s="38">
        <f t="shared" si="29"/>
        <v>1.4400000000000135E-2</v>
      </c>
      <c r="J41" s="38">
        <f t="shared" si="29"/>
        <v>1.4400000000000135E-2</v>
      </c>
      <c r="K41" s="38">
        <f t="shared" si="29"/>
        <v>1.4400000000000135E-2</v>
      </c>
      <c r="L41" s="38">
        <f t="shared" si="29"/>
        <v>1.4400000000000135E-2</v>
      </c>
      <c r="M41" s="38">
        <f t="shared" si="29"/>
        <v>1.4400000000000135E-2</v>
      </c>
      <c r="N41" s="38">
        <f t="shared" si="29"/>
        <v>1.4400000000000135E-2</v>
      </c>
      <c r="O41" s="38">
        <f t="shared" si="29"/>
        <v>1.4400000000000135E-2</v>
      </c>
    </row>
    <row r="42" spans="1:15" ht="57">
      <c r="A42" s="71" t="s">
        <v>253</v>
      </c>
      <c r="B42" s="38" t="s">
        <v>244</v>
      </c>
      <c r="C42" s="38">
        <f t="shared" ref="C42:O42" si="30">0.246-3.08*10^-3*200+1.51*10^-5*200^2-2.67*10^-8*200^3</f>
        <v>2.0399999999999974E-2</v>
      </c>
      <c r="D42" s="40">
        <f t="shared" si="30"/>
        <v>2.0399999999999974E-2</v>
      </c>
      <c r="E42" s="38">
        <f t="shared" si="30"/>
        <v>2.0399999999999974E-2</v>
      </c>
      <c r="F42" s="38">
        <f t="shared" si="30"/>
        <v>2.0399999999999974E-2</v>
      </c>
      <c r="G42" s="38">
        <f t="shared" si="30"/>
        <v>2.0399999999999974E-2</v>
      </c>
      <c r="H42" s="46">
        <f t="shared" si="30"/>
        <v>2.0399999999999974E-2</v>
      </c>
      <c r="I42" s="38">
        <f t="shared" si="30"/>
        <v>2.0399999999999974E-2</v>
      </c>
      <c r="J42" s="38">
        <f t="shared" si="30"/>
        <v>2.0399999999999974E-2</v>
      </c>
      <c r="K42" s="38">
        <f t="shared" si="30"/>
        <v>2.0399999999999974E-2</v>
      </c>
      <c r="L42" s="38">
        <f t="shared" si="30"/>
        <v>2.0399999999999974E-2</v>
      </c>
      <c r="M42" s="38">
        <f t="shared" si="30"/>
        <v>2.0399999999999974E-2</v>
      </c>
      <c r="N42" s="38">
        <f t="shared" si="30"/>
        <v>2.0399999999999974E-2</v>
      </c>
      <c r="O42" s="38">
        <f t="shared" si="30"/>
        <v>2.0399999999999974E-2</v>
      </c>
    </row>
    <row r="43" spans="1:15" ht="57">
      <c r="A43" s="69" t="s">
        <v>254</v>
      </c>
      <c r="B43" s="38" t="s">
        <v>234</v>
      </c>
      <c r="C43" s="38">
        <f t="shared" ref="C43:O43" si="31">1/(1+(C41/SQRT(C40)))</f>
        <v>0.92852990406944513</v>
      </c>
      <c r="D43" s="40">
        <f t="shared" si="31"/>
        <v>0.92852990406944513</v>
      </c>
      <c r="E43" s="38">
        <f t="shared" si="31"/>
        <v>0.92852990406944513</v>
      </c>
      <c r="F43" s="38">
        <f t="shared" si="31"/>
        <v>0.92852990406944513</v>
      </c>
      <c r="G43" s="38">
        <f t="shared" si="31"/>
        <v>0.92852990406944513</v>
      </c>
      <c r="H43" s="46">
        <f t="shared" si="31"/>
        <v>0.92852990406944513</v>
      </c>
      <c r="I43" s="38">
        <f t="shared" si="31"/>
        <v>0.92852990406944513</v>
      </c>
      <c r="J43" s="38">
        <f t="shared" si="31"/>
        <v>0.92852990406944513</v>
      </c>
      <c r="K43" s="38">
        <f t="shared" si="31"/>
        <v>0.92852990406944513</v>
      </c>
      <c r="L43" s="38">
        <f t="shared" si="31"/>
        <v>0.92852990406944513</v>
      </c>
      <c r="M43" s="38">
        <f t="shared" si="31"/>
        <v>0.92852990406944513</v>
      </c>
      <c r="N43" s="38">
        <f t="shared" si="31"/>
        <v>0.92852990406944513</v>
      </c>
      <c r="O43" s="38">
        <f t="shared" si="31"/>
        <v>0.92852990406944513</v>
      </c>
    </row>
    <row r="44" spans="1:15" ht="42.75">
      <c r="A44" s="69" t="s">
        <v>255</v>
      </c>
      <c r="B44" s="38" t="s">
        <v>234</v>
      </c>
      <c r="C44" s="60">
        <f t="shared" ref="C44:O44" si="32">1/(1+(C42/SQRT(C40)))</f>
        <v>0.90167862983088598</v>
      </c>
      <c r="D44" s="61">
        <f t="shared" si="32"/>
        <v>0.90167862983088598</v>
      </c>
      <c r="E44" s="60">
        <f t="shared" si="32"/>
        <v>0.90167862983088598</v>
      </c>
      <c r="F44" s="60">
        <f t="shared" si="32"/>
        <v>0.90167862983088598</v>
      </c>
      <c r="G44" s="60">
        <f t="shared" si="32"/>
        <v>0.90167862983088598</v>
      </c>
      <c r="H44" s="74">
        <f t="shared" si="32"/>
        <v>0.90167862983088598</v>
      </c>
      <c r="I44" s="60">
        <f t="shared" si="32"/>
        <v>0.90167862983088598</v>
      </c>
      <c r="J44" s="60">
        <f t="shared" si="32"/>
        <v>0.90167862983088598</v>
      </c>
      <c r="K44" s="60">
        <f t="shared" si="32"/>
        <v>0.90167862983088598</v>
      </c>
      <c r="L44" s="60">
        <f t="shared" si="32"/>
        <v>0.90167862983088598</v>
      </c>
      <c r="M44" s="60">
        <f t="shared" si="32"/>
        <v>0.90167862983088598</v>
      </c>
      <c r="N44" s="62">
        <f t="shared" si="32"/>
        <v>0.90167862983088598</v>
      </c>
      <c r="O44" s="60">
        <f t="shared" si="32"/>
        <v>0.90167862983088598</v>
      </c>
    </row>
    <row r="45" spans="1:15" ht="38.25">
      <c r="A45" s="72" t="s">
        <v>248</v>
      </c>
      <c r="B45" s="38" t="s">
        <v>235</v>
      </c>
      <c r="C45" s="38">
        <f t="shared" ref="C45:O45" si="33">1+C43*(3-1)</f>
        <v>2.8570598081388905</v>
      </c>
      <c r="D45" s="40">
        <f t="shared" si="33"/>
        <v>2.8570598081388905</v>
      </c>
      <c r="E45" s="38">
        <f t="shared" si="33"/>
        <v>2.8570598081388905</v>
      </c>
      <c r="F45" s="38">
        <f t="shared" si="33"/>
        <v>2.8570598081388905</v>
      </c>
      <c r="G45" s="38">
        <f t="shared" si="33"/>
        <v>2.8570598081388905</v>
      </c>
      <c r="H45" s="46">
        <f t="shared" si="33"/>
        <v>2.8570598081388905</v>
      </c>
      <c r="I45" s="38">
        <f t="shared" si="33"/>
        <v>2.8570598081388905</v>
      </c>
      <c r="J45" s="38">
        <f t="shared" si="33"/>
        <v>2.8570598081388905</v>
      </c>
      <c r="K45" s="38">
        <f t="shared" si="33"/>
        <v>2.8570598081388905</v>
      </c>
      <c r="L45" s="38">
        <f t="shared" si="33"/>
        <v>2.8570598081388905</v>
      </c>
      <c r="M45" s="38">
        <f t="shared" si="33"/>
        <v>2.8570598081388905</v>
      </c>
      <c r="N45" s="38">
        <f t="shared" si="33"/>
        <v>2.8570598081388905</v>
      </c>
      <c r="O45" s="38">
        <f t="shared" si="33"/>
        <v>2.8570598081388905</v>
      </c>
    </row>
    <row r="46" spans="1:15" ht="25.5">
      <c r="A46" s="72" t="s">
        <v>249</v>
      </c>
      <c r="B46" s="38" t="s">
        <v>241</v>
      </c>
      <c r="C46" s="38">
        <f t="shared" ref="C46:O46" si="34">1+((2.14-1)/(1+(C41/SQRT(C40))))</f>
        <v>2.0585240906391675</v>
      </c>
      <c r="D46" s="40">
        <f t="shared" si="34"/>
        <v>2.0585240906391675</v>
      </c>
      <c r="E46" s="38">
        <f t="shared" si="34"/>
        <v>2.0585240906391675</v>
      </c>
      <c r="F46" s="38">
        <f t="shared" si="34"/>
        <v>2.0585240906391675</v>
      </c>
      <c r="G46" s="38">
        <f t="shared" si="34"/>
        <v>2.0585240906391675</v>
      </c>
      <c r="H46" s="46">
        <f t="shared" si="34"/>
        <v>2.0585240906391675</v>
      </c>
      <c r="I46" s="38">
        <f t="shared" si="34"/>
        <v>2.0585240906391675</v>
      </c>
      <c r="J46" s="38">
        <f t="shared" si="34"/>
        <v>2.0585240906391675</v>
      </c>
      <c r="K46" s="38">
        <f t="shared" si="34"/>
        <v>2.0585240906391675</v>
      </c>
      <c r="L46" s="38">
        <f t="shared" si="34"/>
        <v>2.0585240906391675</v>
      </c>
      <c r="M46" s="38">
        <f t="shared" si="34"/>
        <v>2.0585240906391675</v>
      </c>
      <c r="N46" s="38">
        <f t="shared" si="34"/>
        <v>2.0585240906391675</v>
      </c>
      <c r="O46" s="38">
        <f t="shared" si="34"/>
        <v>2.0585240906391675</v>
      </c>
    </row>
    <row r="47" spans="1:15" ht="12.75">
      <c r="A47" s="49" t="s">
        <v>256</v>
      </c>
      <c r="B47" s="49"/>
      <c r="C47" s="49"/>
      <c r="D47" s="49"/>
      <c r="E47" s="49"/>
      <c r="F47" s="49"/>
      <c r="G47" s="49"/>
      <c r="H47" s="49"/>
      <c r="I47" s="49"/>
      <c r="J47" s="49"/>
      <c r="K47" s="49"/>
      <c r="L47" s="49"/>
      <c r="M47" s="49"/>
      <c r="N47" s="49"/>
      <c r="O47" s="49"/>
    </row>
    <row r="48" spans="1:15" ht="12.75">
      <c r="B48" s="38" t="s">
        <v>257</v>
      </c>
      <c r="C48" s="38" t="e">
        <f t="shared" ref="C48:O48" ca="1" si="35">IFS(C6&lt;=200, 0.5*C6, C6&gt;200, 100)</f>
        <v>#NAME?</v>
      </c>
      <c r="D48" s="40" t="e">
        <f t="shared" ca="1" si="35"/>
        <v>#NAME?</v>
      </c>
      <c r="E48" s="38" t="e">
        <f t="shared" ca="1" si="35"/>
        <v>#NAME?</v>
      </c>
      <c r="F48" s="38" t="e">
        <f t="shared" ca="1" si="35"/>
        <v>#NAME?</v>
      </c>
      <c r="G48" s="38" t="e">
        <f t="shared" ca="1" si="35"/>
        <v>#NAME?</v>
      </c>
      <c r="H48" s="38" t="e">
        <f t="shared" ca="1" si="35"/>
        <v>#NAME?</v>
      </c>
      <c r="I48" s="38" t="e">
        <f t="shared" ca="1" si="35"/>
        <v>#NAME?</v>
      </c>
      <c r="J48" s="38" t="e">
        <f t="shared" ca="1" si="35"/>
        <v>#NAME?</v>
      </c>
      <c r="K48" s="38" t="e">
        <f t="shared" ca="1" si="35"/>
        <v>#NAME?</v>
      </c>
      <c r="L48" s="38" t="e">
        <f t="shared" ca="1" si="35"/>
        <v>#NAME?</v>
      </c>
      <c r="M48" s="38" t="e">
        <f t="shared" ca="1" si="35"/>
        <v>#NAME?</v>
      </c>
      <c r="N48" s="38" t="e">
        <f t="shared" ca="1" si="35"/>
        <v>#NAME?</v>
      </c>
      <c r="O48" s="38" t="e">
        <f t="shared" ca="1" si="35"/>
        <v>#NAME?</v>
      </c>
    </row>
    <row r="49" spans="1:16" ht="12.75">
      <c r="A49" s="38" t="s">
        <v>258</v>
      </c>
      <c r="B49" s="38" t="s">
        <v>259</v>
      </c>
      <c r="C49" s="38">
        <v>-0.26500000000000001</v>
      </c>
      <c r="D49" s="40">
        <v>-0.26500000000000001</v>
      </c>
      <c r="E49" s="38">
        <v>-0.26500000000000001</v>
      </c>
      <c r="F49" s="38">
        <v>-0.26500000000000001</v>
      </c>
      <c r="G49" s="38">
        <v>-0.26500000000000001</v>
      </c>
      <c r="H49" s="38">
        <v>-0.26500000000000001</v>
      </c>
      <c r="I49" s="38">
        <v>-0.26500000000000001</v>
      </c>
      <c r="J49" s="38">
        <v>-0.26500000000000001</v>
      </c>
      <c r="K49" s="38">
        <v>-0.26500000000000001</v>
      </c>
      <c r="L49" s="38">
        <v>-0.26500000000000001</v>
      </c>
      <c r="M49" s="38">
        <v>-0.26500000000000001</v>
      </c>
      <c r="N49" s="38">
        <v>-0.26500000000000001</v>
      </c>
      <c r="O49" s="38">
        <v>-0.26500000000000001</v>
      </c>
    </row>
    <row r="50" spans="1:16" ht="12.75">
      <c r="A50" s="38" t="s">
        <v>260</v>
      </c>
      <c r="B50" s="38" t="s">
        <v>261</v>
      </c>
      <c r="C50" s="38">
        <v>2.7</v>
      </c>
      <c r="D50" s="40">
        <v>2.7</v>
      </c>
      <c r="E50" s="38">
        <v>2.7</v>
      </c>
      <c r="F50" s="38">
        <v>2.7</v>
      </c>
      <c r="G50" s="38">
        <v>2.7</v>
      </c>
      <c r="H50" s="38">
        <v>2.7</v>
      </c>
      <c r="I50" s="38">
        <v>2.7</v>
      </c>
      <c r="J50" s="38">
        <v>2.7</v>
      </c>
      <c r="K50" s="38">
        <v>2.7</v>
      </c>
      <c r="L50" s="38">
        <v>2.7</v>
      </c>
      <c r="M50" s="38">
        <v>2.7</v>
      </c>
      <c r="N50" s="38">
        <v>2.7</v>
      </c>
      <c r="O50" s="38">
        <v>2.7</v>
      </c>
    </row>
    <row r="51" spans="1:16" ht="12.75">
      <c r="A51" s="38" t="s">
        <v>262</v>
      </c>
      <c r="B51" s="38" t="s">
        <v>263</v>
      </c>
      <c r="C51" s="38">
        <f t="shared" ref="C51:O51" si="36">C50*C6^C49</f>
        <v>0.6204852849242366</v>
      </c>
      <c r="D51" s="40">
        <f t="shared" si="36"/>
        <v>0.6204852849242366</v>
      </c>
      <c r="E51" s="38">
        <f t="shared" si="36"/>
        <v>0.6204852849242366</v>
      </c>
      <c r="F51" s="38">
        <f t="shared" si="36"/>
        <v>0.6204852849242366</v>
      </c>
      <c r="G51" s="38">
        <f t="shared" si="36"/>
        <v>0.6204852849242366</v>
      </c>
      <c r="H51" s="38">
        <f t="shared" si="36"/>
        <v>0.6204852849242366</v>
      </c>
      <c r="I51" s="38">
        <f t="shared" si="36"/>
        <v>0.6204852849242366</v>
      </c>
      <c r="J51" s="38">
        <f t="shared" si="36"/>
        <v>0.6204852849242366</v>
      </c>
      <c r="K51" s="38">
        <f t="shared" si="36"/>
        <v>0.6204852849242366</v>
      </c>
      <c r="L51" s="38">
        <f t="shared" si="36"/>
        <v>0.6204852849242366</v>
      </c>
      <c r="M51" s="38">
        <f t="shared" si="36"/>
        <v>0.6204852849242366</v>
      </c>
      <c r="N51" s="38">
        <f t="shared" si="36"/>
        <v>0.6204852849242366</v>
      </c>
      <c r="O51" s="38">
        <f t="shared" si="36"/>
        <v>0.6204852849242366</v>
      </c>
    </row>
    <row r="52" spans="1:16" ht="12.75">
      <c r="A52" s="38" t="s">
        <v>264</v>
      </c>
      <c r="B52" s="38" t="s">
        <v>265</v>
      </c>
      <c r="C52" s="75" t="e">
        <f t="shared" ref="C52:O52" ca="1" si="37">IFS(
AND(0.11&lt;=C8, C8&lt;=2), 0.879*C8^-0.107,
AND(2&lt;C8,C8&lt;=10),0.91*C8^-0.157)</f>
        <v>#NAME?</v>
      </c>
      <c r="D52" s="76" t="e">
        <f t="shared" ca="1" si="37"/>
        <v>#NAME?</v>
      </c>
      <c r="E52" s="75" t="e">
        <f t="shared" ca="1" si="37"/>
        <v>#NAME?</v>
      </c>
      <c r="F52" s="75" t="e">
        <f t="shared" ca="1" si="37"/>
        <v>#NAME?</v>
      </c>
      <c r="G52" s="75" t="e">
        <f t="shared" ca="1" si="37"/>
        <v>#NAME?</v>
      </c>
      <c r="H52" s="75" t="e">
        <f t="shared" ca="1" si="37"/>
        <v>#NAME?</v>
      </c>
      <c r="I52" s="75" t="e">
        <f t="shared" ca="1" si="37"/>
        <v>#NAME?</v>
      </c>
      <c r="J52" s="75" t="e">
        <f t="shared" ca="1" si="37"/>
        <v>#NAME?</v>
      </c>
      <c r="K52" s="75" t="e">
        <f t="shared" ca="1" si="37"/>
        <v>#NAME?</v>
      </c>
      <c r="L52" s="75" t="e">
        <f t="shared" ca="1" si="37"/>
        <v>#NAME?</v>
      </c>
      <c r="M52" s="75" t="e">
        <f t="shared" ca="1" si="37"/>
        <v>#NAME?</v>
      </c>
      <c r="N52" s="77" t="e">
        <f t="shared" ca="1" si="37"/>
        <v>#NAME?</v>
      </c>
      <c r="O52" s="75" t="e">
        <f t="shared" ca="1" si="37"/>
        <v>#NAME?</v>
      </c>
    </row>
    <row r="53" spans="1:16" ht="12.75">
      <c r="A53" s="38" t="s">
        <v>266</v>
      </c>
      <c r="B53" s="38" t="s">
        <v>267</v>
      </c>
      <c r="C53" s="38">
        <v>1</v>
      </c>
      <c r="D53" s="40">
        <v>1</v>
      </c>
      <c r="E53" s="38">
        <v>1</v>
      </c>
      <c r="F53" s="38">
        <v>1</v>
      </c>
      <c r="G53" s="38">
        <v>1</v>
      </c>
      <c r="H53" s="38">
        <v>1</v>
      </c>
      <c r="I53" s="38">
        <v>1</v>
      </c>
      <c r="J53" s="38">
        <v>1</v>
      </c>
      <c r="K53" s="38">
        <v>1</v>
      </c>
      <c r="L53" s="38">
        <v>1</v>
      </c>
      <c r="M53" s="38">
        <v>1</v>
      </c>
      <c r="N53" s="38">
        <v>1</v>
      </c>
      <c r="O53" s="38">
        <v>1</v>
      </c>
    </row>
    <row r="54" spans="1:16" ht="12.75">
      <c r="A54" s="38" t="s">
        <v>268</v>
      </c>
      <c r="B54" s="38" t="s">
        <v>269</v>
      </c>
      <c r="C54" s="38">
        <v>250</v>
      </c>
      <c r="D54" s="40">
        <v>250</v>
      </c>
      <c r="E54" s="38">
        <v>250</v>
      </c>
      <c r="F54" s="38">
        <v>250</v>
      </c>
      <c r="G54" s="38">
        <v>250</v>
      </c>
      <c r="H54" s="38">
        <v>250</v>
      </c>
      <c r="I54" s="38">
        <v>250</v>
      </c>
      <c r="J54" s="38">
        <v>250</v>
      </c>
      <c r="K54" s="38">
        <v>250</v>
      </c>
      <c r="L54" s="38">
        <v>250</v>
      </c>
      <c r="M54" s="38">
        <v>250</v>
      </c>
      <c r="N54" s="38">
        <v>250</v>
      </c>
      <c r="O54" s="38">
        <v>250</v>
      </c>
    </row>
    <row r="55" spans="1:16" ht="12.75">
      <c r="A55" s="38" t="s">
        <v>270</v>
      </c>
      <c r="B55" s="38" t="s">
        <v>271</v>
      </c>
      <c r="C55" s="38">
        <f t="shared" ref="C55:O55" si="38">0.957+0.432*(10^-3)*C54-0.115*(10^-5)*C54^2+0.104*(10^-8)*C54^3-0.595*(10^-12)*C54^4</f>
        <v>1.0070507812499998</v>
      </c>
      <c r="D55" s="40">
        <f t="shared" si="38"/>
        <v>1.0070507812499998</v>
      </c>
      <c r="E55" s="38">
        <f t="shared" si="38"/>
        <v>1.0070507812499998</v>
      </c>
      <c r="F55" s="38">
        <f t="shared" si="38"/>
        <v>1.0070507812499998</v>
      </c>
      <c r="G55" s="38">
        <f t="shared" si="38"/>
        <v>1.0070507812499998</v>
      </c>
      <c r="H55" s="38">
        <f t="shared" si="38"/>
        <v>1.0070507812499998</v>
      </c>
      <c r="I55" s="38">
        <f t="shared" si="38"/>
        <v>1.0070507812499998</v>
      </c>
      <c r="J55" s="38">
        <f t="shared" si="38"/>
        <v>1.0070507812499998</v>
      </c>
      <c r="K55" s="38">
        <f t="shared" si="38"/>
        <v>1.0070507812499998</v>
      </c>
      <c r="L55" s="38">
        <f t="shared" si="38"/>
        <v>1.0070507812499998</v>
      </c>
      <c r="M55" s="38">
        <f t="shared" si="38"/>
        <v>1.0070507812499998</v>
      </c>
      <c r="N55" s="38">
        <f t="shared" si="38"/>
        <v>1.0070507812499998</v>
      </c>
      <c r="O55" s="38">
        <f t="shared" si="38"/>
        <v>1.0070507812499998</v>
      </c>
    </row>
    <row r="56" spans="1:16" ht="12.75">
      <c r="A56" s="38" t="s">
        <v>272</v>
      </c>
      <c r="C56" s="38">
        <v>98</v>
      </c>
      <c r="D56" s="40">
        <v>98</v>
      </c>
      <c r="E56" s="38">
        <v>98</v>
      </c>
      <c r="F56" s="38">
        <v>98</v>
      </c>
      <c r="G56" s="38">
        <v>98</v>
      </c>
      <c r="H56" s="38">
        <v>98</v>
      </c>
      <c r="I56" s="38">
        <v>98</v>
      </c>
      <c r="J56" s="38">
        <v>98</v>
      </c>
      <c r="K56" s="38">
        <v>98</v>
      </c>
      <c r="L56" s="38">
        <v>98</v>
      </c>
      <c r="M56" s="38">
        <v>98</v>
      </c>
      <c r="N56" s="38">
        <v>98</v>
      </c>
      <c r="O56" s="38">
        <v>98</v>
      </c>
    </row>
    <row r="57" spans="1:16" ht="12.75">
      <c r="A57" s="38" t="s">
        <v>273</v>
      </c>
      <c r="B57" s="38" t="s">
        <v>274</v>
      </c>
      <c r="C57" s="38">
        <f t="shared" ref="C57:O57" si="39">0.868+((0.814-0.869)/(99-95))*(C56-95)</f>
        <v>0.82674999999999998</v>
      </c>
      <c r="D57" s="40">
        <f t="shared" si="39"/>
        <v>0.82674999999999998</v>
      </c>
      <c r="E57" s="38">
        <f t="shared" si="39"/>
        <v>0.82674999999999998</v>
      </c>
      <c r="F57" s="38">
        <f t="shared" si="39"/>
        <v>0.82674999999999998</v>
      </c>
      <c r="G57" s="38">
        <f t="shared" si="39"/>
        <v>0.82674999999999998</v>
      </c>
      <c r="H57" s="38">
        <f t="shared" si="39"/>
        <v>0.82674999999999998</v>
      </c>
      <c r="I57" s="38">
        <f t="shared" si="39"/>
        <v>0.82674999999999998</v>
      </c>
      <c r="J57" s="38">
        <f t="shared" si="39"/>
        <v>0.82674999999999998</v>
      </c>
      <c r="K57" s="38">
        <f t="shared" si="39"/>
        <v>0.82674999999999998</v>
      </c>
      <c r="L57" s="38">
        <f t="shared" si="39"/>
        <v>0.82674999999999998</v>
      </c>
      <c r="M57" s="38">
        <f t="shared" si="39"/>
        <v>0.82674999999999998</v>
      </c>
      <c r="N57" s="38">
        <f t="shared" si="39"/>
        <v>0.82674999999999998</v>
      </c>
      <c r="O57" s="38">
        <f t="shared" si="39"/>
        <v>0.82674999999999998</v>
      </c>
    </row>
    <row r="58" spans="1:16" ht="12.75">
      <c r="A58" s="38" t="s">
        <v>275</v>
      </c>
      <c r="B58" s="38" t="s">
        <v>276</v>
      </c>
      <c r="C58" s="38">
        <v>1</v>
      </c>
      <c r="D58" s="40">
        <v>1</v>
      </c>
      <c r="E58" s="38">
        <v>1</v>
      </c>
      <c r="F58" s="38">
        <v>1</v>
      </c>
      <c r="G58" s="38">
        <v>1</v>
      </c>
      <c r="H58" s="38">
        <v>1</v>
      </c>
      <c r="I58" s="38">
        <v>1</v>
      </c>
      <c r="J58" s="38">
        <v>1</v>
      </c>
      <c r="K58" s="38">
        <v>1</v>
      </c>
      <c r="L58" s="38">
        <v>1</v>
      </c>
      <c r="M58" s="38">
        <v>1</v>
      </c>
      <c r="N58" s="38">
        <v>1</v>
      </c>
      <c r="O58" s="38">
        <v>1</v>
      </c>
    </row>
    <row r="59" spans="1:16" ht="12.75">
      <c r="A59" s="38" t="s">
        <v>277</v>
      </c>
      <c r="B59" s="38" t="s">
        <v>278</v>
      </c>
      <c r="C59" s="38" t="e">
        <f t="shared" ref="C59:O59" ca="1" si="40">C51*C52*C53*C55*C57*C58*C48</f>
        <v>#NAME?</v>
      </c>
      <c r="D59" s="40" t="e">
        <f t="shared" ca="1" si="40"/>
        <v>#NAME?</v>
      </c>
      <c r="E59" s="38" t="e">
        <f t="shared" ca="1" si="40"/>
        <v>#NAME?</v>
      </c>
      <c r="F59" s="38" t="e">
        <f t="shared" ca="1" si="40"/>
        <v>#NAME?</v>
      </c>
      <c r="G59" s="38" t="e">
        <f t="shared" ca="1" si="40"/>
        <v>#NAME?</v>
      </c>
      <c r="H59" s="38" t="e">
        <f t="shared" ca="1" si="40"/>
        <v>#NAME?</v>
      </c>
      <c r="I59" s="38" t="e">
        <f t="shared" ca="1" si="40"/>
        <v>#NAME?</v>
      </c>
      <c r="J59" s="38" t="e">
        <f t="shared" ca="1" si="40"/>
        <v>#NAME?</v>
      </c>
      <c r="K59" s="38" t="e">
        <f t="shared" ca="1" si="40"/>
        <v>#NAME?</v>
      </c>
      <c r="L59" s="38" t="e">
        <f t="shared" ca="1" si="40"/>
        <v>#NAME?</v>
      </c>
      <c r="M59" s="38" t="e">
        <f t="shared" ca="1" si="40"/>
        <v>#NAME?</v>
      </c>
      <c r="N59" s="38" t="e">
        <f t="shared" ca="1" si="40"/>
        <v>#NAME?</v>
      </c>
      <c r="O59" s="38" t="e">
        <f t="shared" ca="1" si="40"/>
        <v>#NAME?</v>
      </c>
    </row>
    <row r="60" spans="1:16" ht="12.75">
      <c r="A60" s="78" t="s">
        <v>279</v>
      </c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49"/>
      <c r="P60" s="79"/>
    </row>
    <row r="61" spans="1:16" ht="12.75">
      <c r="A61" s="47" t="s">
        <v>280</v>
      </c>
      <c r="B61" s="80" t="s">
        <v>281</v>
      </c>
      <c r="C61" s="38" t="e">
        <f t="shared" ref="C61:C62" si="41">(#REF!+#REF!)/2</f>
        <v>#REF!</v>
      </c>
      <c r="D61" s="40"/>
      <c r="F61" s="38">
        <v>2517</v>
      </c>
      <c r="G61" s="38">
        <v>0</v>
      </c>
      <c r="H61" s="46">
        <v>1350</v>
      </c>
      <c r="I61" s="38">
        <v>74.099999999999994</v>
      </c>
      <c r="J61" s="38">
        <v>74.099999999999994</v>
      </c>
      <c r="K61" s="38">
        <f>M96</f>
        <v>454.28667466986792</v>
      </c>
      <c r="L61" s="38">
        <v>45.4</v>
      </c>
      <c r="M61" s="38">
        <v>482.9</v>
      </c>
      <c r="N61" s="47">
        <v>0</v>
      </c>
      <c r="O61" s="38">
        <v>45.2</v>
      </c>
    </row>
    <row r="62" spans="1:16" ht="12.75">
      <c r="A62" s="47" t="s">
        <v>282</v>
      </c>
      <c r="B62" s="38" t="s">
        <v>283</v>
      </c>
      <c r="C62" s="38" t="e">
        <f t="shared" si="41"/>
        <v>#REF!</v>
      </c>
      <c r="D62" s="40"/>
      <c r="F62" s="38">
        <v>0</v>
      </c>
      <c r="G62" s="38">
        <v>0</v>
      </c>
      <c r="H62" s="38">
        <v>0</v>
      </c>
      <c r="J62" s="38">
        <v>0</v>
      </c>
      <c r="K62" s="38">
        <v>0</v>
      </c>
      <c r="L62" s="38">
        <v>0</v>
      </c>
      <c r="M62" s="38">
        <v>0</v>
      </c>
      <c r="N62" s="47"/>
      <c r="O62" s="38">
        <v>0</v>
      </c>
    </row>
    <row r="63" spans="1:16" ht="12.75">
      <c r="A63" s="47" t="s">
        <v>284</v>
      </c>
      <c r="B63" s="38" t="s">
        <v>285</v>
      </c>
      <c r="C63" s="38" t="e">
        <f t="shared" ref="C63:C64" si="42">ABS(#REF!-#REF!)/2</f>
        <v>#REF!</v>
      </c>
      <c r="D63" s="40"/>
      <c r="F63" s="38">
        <v>0</v>
      </c>
      <c r="G63" s="38">
        <v>0</v>
      </c>
      <c r="H63" s="38">
        <v>0</v>
      </c>
      <c r="J63" s="38">
        <v>0</v>
      </c>
      <c r="K63" s="38">
        <v>0</v>
      </c>
      <c r="L63" s="38">
        <v>0</v>
      </c>
      <c r="M63" s="38">
        <v>0</v>
      </c>
      <c r="N63" s="47"/>
      <c r="O63" s="38">
        <v>0</v>
      </c>
    </row>
    <row r="64" spans="1:16" ht="12.75">
      <c r="A64" s="47" t="s">
        <v>286</v>
      </c>
      <c r="B64" s="81" t="s">
        <v>287</v>
      </c>
      <c r="C64" s="38" t="e">
        <f t="shared" si="42"/>
        <v>#REF!</v>
      </c>
      <c r="D64" s="40"/>
      <c r="F64" s="38">
        <v>888</v>
      </c>
      <c r="G64" s="38">
        <v>1016.4</v>
      </c>
      <c r="H64" s="46">
        <v>566.6</v>
      </c>
      <c r="I64" s="38">
        <f>I108</f>
        <v>28.392602700000005</v>
      </c>
      <c r="J64" s="38">
        <v>37.700000000000003</v>
      </c>
      <c r="K64" s="38">
        <f>M114</f>
        <v>45.233223349103831</v>
      </c>
      <c r="L64" s="38">
        <v>69.233000000000004</v>
      </c>
      <c r="M64" s="38">
        <v>228.6</v>
      </c>
      <c r="N64" s="47">
        <v>159.30000000000001</v>
      </c>
      <c r="O64" s="38">
        <v>15.76</v>
      </c>
    </row>
    <row r="65" spans="1:18" ht="12.75">
      <c r="A65" s="78" t="s">
        <v>288</v>
      </c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Q65" s="82">
        <v>15.526</v>
      </c>
    </row>
    <row r="66" spans="1:18" ht="12.75">
      <c r="A66" s="47" t="s">
        <v>289</v>
      </c>
      <c r="B66" s="38" t="s">
        <v>290</v>
      </c>
      <c r="C66" s="38" t="e">
        <f t="shared" ref="C66:F66" ca="1" si="43">SQRT( 4*((C30*C62)^2)+3*(C23*C61)^2)</f>
        <v>#NAME?</v>
      </c>
      <c r="D66" s="40" t="e">
        <f t="shared" ca="1" si="43"/>
        <v>#NAME?</v>
      </c>
      <c r="E66" s="38" t="e">
        <f t="shared" ca="1" si="43"/>
        <v>#NAME?</v>
      </c>
      <c r="F66" s="38" t="e">
        <f t="shared" ca="1" si="43"/>
        <v>#NAME?</v>
      </c>
      <c r="G66" s="83" t="e">
        <f ca="1">SQRT( 4*((G30*G64)^2)+3*(G23*G63)^2)</f>
        <v>#NAME?</v>
      </c>
      <c r="H66" s="38" t="e">
        <f ca="1">SQRT( 4*((H30*H62)^2)+3*(H23*H61)^2)</f>
        <v>#NAME?</v>
      </c>
      <c r="I66" s="38" t="e">
        <f t="shared" ref="I66:O66" ca="1" si="44">SQRT( 4*((I30*I64)^2)+3*(I23*I63)^2)</f>
        <v>#NAME?</v>
      </c>
      <c r="J66" s="38" t="e">
        <f t="shared" ca="1" si="44"/>
        <v>#NAME?</v>
      </c>
      <c r="K66" s="38" t="e">
        <f t="shared" ca="1" si="44"/>
        <v>#NAME?</v>
      </c>
      <c r="L66" s="38" t="e">
        <f t="shared" ca="1" si="44"/>
        <v>#NAME?</v>
      </c>
      <c r="M66" s="38" t="e">
        <f t="shared" ca="1" si="44"/>
        <v>#NAME?</v>
      </c>
      <c r="N66" s="38" t="e">
        <f t="shared" ca="1" si="44"/>
        <v>#NAME?</v>
      </c>
      <c r="O66" s="38" t="e">
        <f t="shared" ca="1" si="44"/>
        <v>#NAME?</v>
      </c>
    </row>
    <row r="67" spans="1:18" ht="12.75">
      <c r="A67" s="47" t="s">
        <v>291</v>
      </c>
      <c r="B67" s="38" t="s">
        <v>292</v>
      </c>
      <c r="C67" s="38" t="e">
        <f t="shared" ref="C67:O67" ca="1" si="45">SQRT(4*((C30*C62)^2)+3*(C23*C61)^2)</f>
        <v>#NAME?</v>
      </c>
      <c r="D67" s="40" t="e">
        <f t="shared" ca="1" si="45"/>
        <v>#NAME?</v>
      </c>
      <c r="E67" s="38" t="e">
        <f t="shared" ca="1" si="45"/>
        <v>#NAME?</v>
      </c>
      <c r="F67" s="38" t="e">
        <f t="shared" ca="1" si="45"/>
        <v>#NAME?</v>
      </c>
      <c r="G67" s="38" t="e">
        <f t="shared" ca="1" si="45"/>
        <v>#NAME?</v>
      </c>
      <c r="H67" s="38" t="e">
        <f t="shared" ca="1" si="45"/>
        <v>#NAME?</v>
      </c>
      <c r="I67" s="38" t="e">
        <f t="shared" ca="1" si="45"/>
        <v>#NAME?</v>
      </c>
      <c r="J67" s="38" t="e">
        <f t="shared" ca="1" si="45"/>
        <v>#NAME?</v>
      </c>
      <c r="K67" s="38" t="e">
        <f t="shared" ca="1" si="45"/>
        <v>#NAME?</v>
      </c>
      <c r="L67" s="38" t="e">
        <f t="shared" ca="1" si="45"/>
        <v>#NAME?</v>
      </c>
      <c r="M67" s="38" t="e">
        <f t="shared" ca="1" si="45"/>
        <v>#NAME?</v>
      </c>
      <c r="N67" s="38" t="e">
        <f t="shared" ca="1" si="45"/>
        <v>#NAME?</v>
      </c>
      <c r="O67" s="38" t="e">
        <f t="shared" ca="1" si="45"/>
        <v>#NAME?</v>
      </c>
      <c r="R67" s="38" t="s">
        <v>277</v>
      </c>
    </row>
    <row r="68" spans="1:18" ht="12.75">
      <c r="A68" s="78" t="s">
        <v>293</v>
      </c>
      <c r="B68" s="49"/>
      <c r="C68" s="49"/>
      <c r="D68" s="49"/>
      <c r="E68" s="49"/>
      <c r="F68" s="49"/>
      <c r="G68" s="49"/>
      <c r="H68" s="49"/>
      <c r="I68" s="49"/>
      <c r="J68" s="49"/>
      <c r="K68" s="49"/>
      <c r="L68" s="49"/>
      <c r="M68" s="49"/>
      <c r="N68" s="49"/>
      <c r="O68" s="49"/>
    </row>
    <row r="69" spans="1:18" ht="12.75">
      <c r="A69" s="47"/>
      <c r="B69" s="38" t="s">
        <v>290</v>
      </c>
      <c r="C69" s="60" t="e">
        <f>SQRT( 4*((C38*C62)^2)+3*(C37*C61)^2)</f>
        <v>#REF!</v>
      </c>
      <c r="D69" s="61">
        <f t="shared" ref="D69:O69" si="46">SQRT( 4*((D38*D63)^2)+3*(D37*D64)^2)</f>
        <v>0</v>
      </c>
      <c r="E69" s="60">
        <f t="shared" si="46"/>
        <v>0</v>
      </c>
      <c r="F69" s="60">
        <f t="shared" si="46"/>
        <v>4394.3326001880778</v>
      </c>
      <c r="G69" s="60">
        <f t="shared" si="46"/>
        <v>5029.7293410260827</v>
      </c>
      <c r="H69" s="60">
        <f t="shared" si="46"/>
        <v>981.37998756852585</v>
      </c>
      <c r="I69" s="60">
        <f t="shared" si="46"/>
        <v>140.50285996486269</v>
      </c>
      <c r="J69" s="60">
        <f t="shared" si="46"/>
        <v>186.56119259807494</v>
      </c>
      <c r="K69" s="60">
        <f t="shared" si="46"/>
        <v>223.83989636774268</v>
      </c>
      <c r="L69" s="60">
        <f t="shared" si="46"/>
        <v>342.60453705948333</v>
      </c>
      <c r="M69" s="60">
        <f t="shared" si="46"/>
        <v>1131.2437301835523</v>
      </c>
      <c r="N69" s="62">
        <f t="shared" si="46"/>
        <v>788.30763874995591</v>
      </c>
      <c r="O69" s="60">
        <f t="shared" si="46"/>
        <v>77.989506507842449</v>
      </c>
    </row>
    <row r="70" spans="1:18" ht="12.75">
      <c r="A70" s="47"/>
      <c r="B70" s="38" t="s">
        <v>292</v>
      </c>
      <c r="C70" s="38" t="e">
        <f t="shared" ref="C70:O70" si="47">SQRT( 4*((C38*C62)^2)+3*(C37*C61)^2)</f>
        <v>#REF!</v>
      </c>
      <c r="D70" s="40">
        <f t="shared" si="47"/>
        <v>0</v>
      </c>
      <c r="E70" s="38">
        <f t="shared" si="47"/>
        <v>0</v>
      </c>
      <c r="F70" s="38">
        <f t="shared" si="47"/>
        <v>12455.557606614178</v>
      </c>
      <c r="G70" s="38">
        <f t="shared" si="47"/>
        <v>0</v>
      </c>
      <c r="H70" s="38">
        <f t="shared" si="47"/>
        <v>2338.2685902179842</v>
      </c>
      <c r="I70" s="38">
        <f t="shared" si="47"/>
        <v>366.68924062380239</v>
      </c>
      <c r="J70" s="38">
        <f t="shared" si="47"/>
        <v>366.68924062380239</v>
      </c>
      <c r="K70" s="38">
        <f t="shared" si="47"/>
        <v>2248.0706580324731</v>
      </c>
      <c r="L70" s="38">
        <f t="shared" si="47"/>
        <v>224.6652027573634</v>
      </c>
      <c r="M70" s="38">
        <f t="shared" si="47"/>
        <v>2389.6657799896652</v>
      </c>
      <c r="N70" s="38">
        <f t="shared" si="47"/>
        <v>0</v>
      </c>
      <c r="O70" s="38">
        <f t="shared" si="47"/>
        <v>223.67548820777151</v>
      </c>
    </row>
    <row r="71" spans="1:18" ht="12.75">
      <c r="A71" s="78" t="s">
        <v>294</v>
      </c>
      <c r="B71" s="78"/>
      <c r="C71" s="78"/>
      <c r="D71" s="49"/>
      <c r="E71" s="49"/>
      <c r="F71" s="49"/>
      <c r="G71" s="49"/>
      <c r="H71" s="49"/>
      <c r="I71" s="49"/>
      <c r="J71" s="49"/>
      <c r="K71" s="49"/>
      <c r="L71" s="49"/>
      <c r="M71" s="49"/>
      <c r="N71" s="49"/>
      <c r="O71" s="49"/>
    </row>
    <row r="72" spans="1:18" ht="12.75">
      <c r="A72" s="47"/>
      <c r="B72" s="38" t="s">
        <v>290</v>
      </c>
      <c r="C72" s="60" t="e">
        <f>SQRT( 4*((C46*C62)^2)+3*(C45*C61)^2)</f>
        <v>#REF!</v>
      </c>
      <c r="D72" s="61">
        <f t="shared" ref="D72:O72" si="48">SQRT( 4*((D46*D64)^2)+3*(D45*D63)^2)</f>
        <v>0</v>
      </c>
      <c r="E72" s="60">
        <f t="shared" si="48"/>
        <v>0</v>
      </c>
      <c r="F72" s="60">
        <f t="shared" si="48"/>
        <v>3655.9387849751615</v>
      </c>
      <c r="G72" s="60">
        <f t="shared" si="48"/>
        <v>4184.5677714512994</v>
      </c>
      <c r="H72" s="60">
        <f t="shared" si="48"/>
        <v>2332.7194995123045</v>
      </c>
      <c r="I72" s="60">
        <f t="shared" si="48"/>
        <v>116.89371330779336</v>
      </c>
      <c r="J72" s="60">
        <f t="shared" si="48"/>
        <v>155.21271643419325</v>
      </c>
      <c r="K72" s="60">
        <f t="shared" si="48"/>
        <v>186.22735992278464</v>
      </c>
      <c r="L72" s="60">
        <f t="shared" si="48"/>
        <v>285.035596734443</v>
      </c>
      <c r="M72" s="60">
        <f t="shared" si="48"/>
        <v>941.1572142402274</v>
      </c>
      <c r="N72" s="62">
        <f t="shared" si="48"/>
        <v>655.84577527763884</v>
      </c>
      <c r="O72" s="60">
        <f t="shared" si="48"/>
        <v>64.884679336946562</v>
      </c>
    </row>
    <row r="73" spans="1:18" ht="12.75">
      <c r="A73" s="47"/>
      <c r="B73" s="38" t="s">
        <v>292</v>
      </c>
      <c r="C73" s="38" t="e">
        <f t="shared" ref="C73:O73" si="49">SQRT( 4*((C46*C62)^2)+3*(C45*C61)^2)</f>
        <v>#REF!</v>
      </c>
      <c r="D73" s="40">
        <f t="shared" si="49"/>
        <v>0</v>
      </c>
      <c r="E73" s="38">
        <f t="shared" si="49"/>
        <v>0</v>
      </c>
      <c r="F73" s="38">
        <f t="shared" si="49"/>
        <v>12455.557606614178</v>
      </c>
      <c r="G73" s="38">
        <f t="shared" si="49"/>
        <v>0</v>
      </c>
      <c r="H73" s="38">
        <f t="shared" si="49"/>
        <v>6680.5732097453883</v>
      </c>
      <c r="I73" s="38">
        <f t="shared" si="49"/>
        <v>366.68924062380239</v>
      </c>
      <c r="J73" s="38">
        <f t="shared" si="49"/>
        <v>366.68924062380239</v>
      </c>
      <c r="K73" s="38">
        <f t="shared" si="49"/>
        <v>2248.0706580324731</v>
      </c>
      <c r="L73" s="38">
        <f t="shared" si="49"/>
        <v>224.6652027573634</v>
      </c>
      <c r="M73" s="38">
        <f t="shared" si="49"/>
        <v>2389.6657799896652</v>
      </c>
      <c r="N73" s="38">
        <f t="shared" si="49"/>
        <v>0</v>
      </c>
      <c r="O73" s="38">
        <f t="shared" si="49"/>
        <v>223.67548820777151</v>
      </c>
    </row>
    <row r="74" spans="1:18" ht="12.75">
      <c r="A74" s="78" t="s">
        <v>295</v>
      </c>
      <c r="B74" s="49"/>
      <c r="C74" s="49"/>
      <c r="D74" s="49"/>
      <c r="E74" s="49"/>
      <c r="F74" s="49"/>
      <c r="G74" s="49"/>
      <c r="H74" s="49"/>
      <c r="I74" s="49"/>
      <c r="J74" s="49"/>
      <c r="K74" s="49"/>
      <c r="L74" s="49"/>
      <c r="M74" s="49"/>
      <c r="N74" s="49"/>
      <c r="O74" s="49"/>
    </row>
    <row r="75" spans="1:18" ht="12.75">
      <c r="A75" s="47" t="s">
        <v>296</v>
      </c>
      <c r="B75" s="38" t="s">
        <v>297</v>
      </c>
      <c r="C75" s="38" t="e">
        <f t="shared" ref="C75:O75" ca="1" si="50">(((8*C66/(PI()*C8^3*C59*1000))*(1+(1+(2*C67*C59*1000/(C66*C6*1000))^2 )^(1/2)) )^-1)</f>
        <v>#NAME?</v>
      </c>
      <c r="D75" s="40" t="e">
        <f t="shared" ca="1" si="50"/>
        <v>#NAME?</v>
      </c>
      <c r="E75" s="38" t="e">
        <f t="shared" ca="1" si="50"/>
        <v>#NAME?</v>
      </c>
      <c r="F75" s="38" t="e">
        <f t="shared" ca="1" si="50"/>
        <v>#NAME?</v>
      </c>
      <c r="G75" s="38" t="e">
        <f t="shared" ca="1" si="50"/>
        <v>#NAME?</v>
      </c>
      <c r="H75" s="46" t="e">
        <f t="shared" ca="1" si="50"/>
        <v>#NAME?</v>
      </c>
      <c r="I75" s="38" t="e">
        <f t="shared" ca="1" si="50"/>
        <v>#NAME?</v>
      </c>
      <c r="J75" s="38" t="e">
        <f t="shared" ca="1" si="50"/>
        <v>#NAME?</v>
      </c>
      <c r="K75" s="38" t="e">
        <f t="shared" ca="1" si="50"/>
        <v>#NAME?</v>
      </c>
      <c r="L75" s="38" t="e">
        <f t="shared" ca="1" si="50"/>
        <v>#NAME?</v>
      </c>
      <c r="M75" s="38" t="e">
        <f t="shared" ca="1" si="50"/>
        <v>#NAME?</v>
      </c>
      <c r="N75" s="38" t="e">
        <f t="shared" ca="1" si="50"/>
        <v>#NAME?</v>
      </c>
      <c r="O75" s="38" t="e">
        <f t="shared" ca="1" si="50"/>
        <v>#NAME?</v>
      </c>
    </row>
    <row r="76" spans="1:18" ht="12.75">
      <c r="A76" s="84" t="s">
        <v>298</v>
      </c>
      <c r="B76" s="38" t="s">
        <v>299</v>
      </c>
      <c r="C76" s="60" t="e">
        <f t="shared" ref="C76:O76" ca="1" si="51">( (8*C69/(PI()*C8^3*C59*1000))*(1+(1+(2*C70*C59*1000/(C69*C6*1000))^2 ))^(1/2) )^-1</f>
        <v>#REF!</v>
      </c>
      <c r="D76" s="61" t="e">
        <f t="shared" ca="1" si="51"/>
        <v>#NAME?</v>
      </c>
      <c r="E76" s="60" t="e">
        <f t="shared" ca="1" si="51"/>
        <v>#NAME?</v>
      </c>
      <c r="F76" s="60" t="e">
        <f t="shared" ca="1" si="51"/>
        <v>#NAME?</v>
      </c>
      <c r="G76" s="60" t="e">
        <f t="shared" ca="1" si="51"/>
        <v>#NAME?</v>
      </c>
      <c r="H76" s="74" t="e">
        <f t="shared" ca="1" si="51"/>
        <v>#NAME?</v>
      </c>
      <c r="I76" s="60" t="e">
        <f t="shared" ca="1" si="51"/>
        <v>#NAME?</v>
      </c>
      <c r="J76" s="60" t="e">
        <f t="shared" ca="1" si="51"/>
        <v>#NAME?</v>
      </c>
      <c r="K76" s="60" t="e">
        <f t="shared" ca="1" si="51"/>
        <v>#NAME?</v>
      </c>
      <c r="L76" s="60" t="e">
        <f t="shared" ca="1" si="51"/>
        <v>#NAME?</v>
      </c>
      <c r="M76" s="60" t="e">
        <f t="shared" ca="1" si="51"/>
        <v>#NAME?</v>
      </c>
      <c r="N76" s="62" t="e">
        <f t="shared" ca="1" si="51"/>
        <v>#NAME?</v>
      </c>
      <c r="O76" s="60" t="e">
        <f t="shared" ca="1" si="51"/>
        <v>#NAME?</v>
      </c>
    </row>
    <row r="77" spans="1:18" ht="12.75">
      <c r="A77" s="84" t="s">
        <v>300</v>
      </c>
      <c r="B77" s="38" t="s">
        <v>301</v>
      </c>
      <c r="C77" s="38" t="e">
        <f t="shared" ref="C77:O77" ca="1" si="52">(((8*C72/(PI()*C8^3*C59*1000))*(1+(1+(2*C73*C59*1000/(C72*C6*1000))^2 )^(1/2)) )^-1)</f>
        <v>#REF!</v>
      </c>
      <c r="D77" s="40" t="e">
        <f t="shared" ca="1" si="52"/>
        <v>#NAME?</v>
      </c>
      <c r="E77" s="38" t="e">
        <f t="shared" ca="1" si="52"/>
        <v>#NAME?</v>
      </c>
      <c r="F77" s="38" t="e">
        <f t="shared" ca="1" si="52"/>
        <v>#NAME?</v>
      </c>
      <c r="G77" s="38" t="e">
        <f t="shared" ca="1" si="52"/>
        <v>#NAME?</v>
      </c>
      <c r="H77" s="46" t="e">
        <f t="shared" ca="1" si="52"/>
        <v>#NAME?</v>
      </c>
      <c r="I77" s="38" t="e">
        <f t="shared" ca="1" si="52"/>
        <v>#NAME?</v>
      </c>
      <c r="J77" s="38" t="e">
        <f t="shared" ca="1" si="52"/>
        <v>#NAME?</v>
      </c>
      <c r="K77" s="38" t="e">
        <f t="shared" ca="1" si="52"/>
        <v>#NAME?</v>
      </c>
      <c r="L77" s="38" t="e">
        <f t="shared" ca="1" si="52"/>
        <v>#NAME?</v>
      </c>
      <c r="M77" s="38" t="e">
        <f t="shared" ca="1" si="52"/>
        <v>#NAME?</v>
      </c>
      <c r="N77" s="38" t="e">
        <f t="shared" ca="1" si="52"/>
        <v>#NAME?</v>
      </c>
      <c r="O77" s="38" t="e">
        <f t="shared" ca="1" si="52"/>
        <v>#NAME?</v>
      </c>
    </row>
    <row r="78" spans="1:18" ht="12.75">
      <c r="A78" s="78" t="s">
        <v>302</v>
      </c>
      <c r="B78" s="49"/>
      <c r="C78" s="49"/>
      <c r="D78" s="49"/>
      <c r="E78" s="49"/>
      <c r="F78" s="49"/>
      <c r="G78" s="49"/>
      <c r="H78" s="49"/>
      <c r="I78" s="49"/>
      <c r="J78" s="49"/>
      <c r="K78" s="49"/>
      <c r="L78" s="49"/>
      <c r="M78" s="49"/>
      <c r="N78" s="49"/>
      <c r="O78" s="49"/>
    </row>
    <row r="79" spans="1:18" ht="12.75">
      <c r="A79" s="47" t="s">
        <v>303</v>
      </c>
      <c r="B79" s="38" t="s">
        <v>304</v>
      </c>
      <c r="C79" s="38" t="e">
        <f t="shared" ref="C79:O79" si="53">( (32*C38*C64/(PI()*C8^3))^2 +3*(16*C37*C61/(PI()*C8^3))^2)^(1/2)</f>
        <v>#REF!</v>
      </c>
      <c r="D79" s="40">
        <f t="shared" si="53"/>
        <v>0</v>
      </c>
      <c r="E79" s="38">
        <f t="shared" si="53"/>
        <v>0</v>
      </c>
      <c r="F79" s="38">
        <f t="shared" si="53"/>
        <v>75896.743012653518</v>
      </c>
      <c r="G79" s="38">
        <f t="shared" si="53"/>
        <v>47693.155962433848</v>
      </c>
      <c r="H79" s="38">
        <f t="shared" si="53"/>
        <v>69053.953131488059</v>
      </c>
      <c r="I79" s="38">
        <f t="shared" si="53"/>
        <v>18352.387775375155</v>
      </c>
      <c r="J79" s="38">
        <f t="shared" si="53"/>
        <v>20578.99717533878</v>
      </c>
      <c r="K79" s="38">
        <f t="shared" si="53"/>
        <v>93155.246228387128</v>
      </c>
      <c r="L79" s="38">
        <f t="shared" si="53"/>
        <v>27554.19243220413</v>
      </c>
      <c r="M79" s="38">
        <f t="shared" si="53"/>
        <v>38454.33188599164</v>
      </c>
      <c r="N79" s="38">
        <f t="shared" si="53"/>
        <v>59799.447027278336</v>
      </c>
      <c r="O79" s="38">
        <f t="shared" si="53"/>
        <v>10865.260903128194</v>
      </c>
    </row>
    <row r="80" spans="1:18" ht="12.75">
      <c r="A80" s="47" t="s">
        <v>305</v>
      </c>
      <c r="B80" s="38" t="s">
        <v>306</v>
      </c>
      <c r="C80" s="38" t="e">
        <f t="shared" ref="C80:O80" si="54">C5*1000/C79</f>
        <v>#REF!</v>
      </c>
      <c r="D80" s="40" t="e">
        <f t="shared" si="54"/>
        <v>#DIV/0!</v>
      </c>
      <c r="E80" s="38" t="e">
        <f t="shared" si="54"/>
        <v>#DIV/0!</v>
      </c>
      <c r="F80" s="38">
        <f t="shared" si="54"/>
        <v>3.1358394385951529</v>
      </c>
      <c r="G80" s="38">
        <f t="shared" si="54"/>
        <v>4.9902338228039236</v>
      </c>
      <c r="H80" s="38">
        <f t="shared" si="54"/>
        <v>3.4465803796462722</v>
      </c>
      <c r="I80" s="38">
        <f t="shared" si="54"/>
        <v>12.968339755731588</v>
      </c>
      <c r="J80" s="38">
        <f t="shared" si="54"/>
        <v>11.565189400249867</v>
      </c>
      <c r="K80" s="38">
        <f t="shared" si="54"/>
        <v>2.5548748957895455</v>
      </c>
      <c r="L80" s="38">
        <f t="shared" si="54"/>
        <v>8.637524056841384</v>
      </c>
      <c r="M80" s="38">
        <f t="shared" si="54"/>
        <v>6.1891596688148409</v>
      </c>
      <c r="N80" s="38">
        <f t="shared" si="54"/>
        <v>3.9799699132908879</v>
      </c>
      <c r="O80" s="38">
        <f t="shared" si="54"/>
        <v>21.904674183339484</v>
      </c>
    </row>
    <row r="82" spans="1:16" ht="12.75">
      <c r="P82" s="38" t="s">
        <v>307</v>
      </c>
    </row>
    <row r="85" spans="1:16" ht="12.75">
      <c r="G85" s="38"/>
    </row>
    <row r="88" spans="1:16" ht="12.75">
      <c r="B88" s="85"/>
      <c r="E88" s="86"/>
    </row>
    <row r="89" spans="1:16" ht="12.75">
      <c r="B89" s="85"/>
      <c r="E89" s="86"/>
    </row>
    <row r="90" spans="1:16" ht="12.75">
      <c r="B90" s="85"/>
      <c r="E90" s="86"/>
      <c r="L90" s="85" t="s">
        <v>308</v>
      </c>
    </row>
    <row r="91" spans="1:16" ht="12.75">
      <c r="A91" s="38" t="s">
        <v>309</v>
      </c>
      <c r="C91" s="87" t="s">
        <v>310</v>
      </c>
      <c r="D91" s="2" t="s">
        <v>311</v>
      </c>
      <c r="E91" s="88" t="s">
        <v>312</v>
      </c>
      <c r="F91" s="2" t="s">
        <v>313</v>
      </c>
      <c r="L91" s="85"/>
    </row>
    <row r="92" spans="1:16" ht="12.75">
      <c r="A92" s="2"/>
      <c r="B92" s="85" t="s">
        <v>314</v>
      </c>
      <c r="C92" s="2">
        <v>74.099999999999994</v>
      </c>
      <c r="D92" s="2">
        <v>45.4</v>
      </c>
      <c r="E92" s="88">
        <v>45.2</v>
      </c>
      <c r="F92" s="2">
        <v>64.5</v>
      </c>
      <c r="L92" s="85" t="s">
        <v>221</v>
      </c>
      <c r="M92" s="38">
        <v>0.5</v>
      </c>
    </row>
    <row r="93" spans="1:16" ht="12.75">
      <c r="A93" s="2">
        <v>0.5</v>
      </c>
      <c r="B93" s="85" t="s">
        <v>221</v>
      </c>
      <c r="C93" s="13">
        <v>1.75</v>
      </c>
      <c r="D93" s="2"/>
      <c r="E93" s="88">
        <v>0.5</v>
      </c>
      <c r="F93" s="2">
        <v>0.5</v>
      </c>
      <c r="H93" s="38" t="s">
        <v>315</v>
      </c>
      <c r="L93" s="85" t="s">
        <v>316</v>
      </c>
      <c r="M93" s="38">
        <f>M92/2</f>
        <v>0.25</v>
      </c>
    </row>
    <row r="94" spans="1:16" ht="12.75">
      <c r="A94" s="2">
        <v>0.25</v>
      </c>
      <c r="B94" s="85" t="s">
        <v>316</v>
      </c>
      <c r="C94" s="2">
        <f>C93/2</f>
        <v>0.875</v>
      </c>
      <c r="D94" s="2"/>
      <c r="E94" s="88">
        <f>E93/2</f>
        <v>0.25</v>
      </c>
      <c r="F94" s="2">
        <v>0.25</v>
      </c>
      <c r="H94" s="38" t="s">
        <v>76</v>
      </c>
      <c r="I94" s="38">
        <v>84.686000000000007</v>
      </c>
      <c r="J94" s="38" t="s">
        <v>317</v>
      </c>
      <c r="K94" s="38">
        <v>3.41</v>
      </c>
      <c r="L94" s="85" t="s">
        <v>317</v>
      </c>
      <c r="M94" s="38">
        <v>32.86</v>
      </c>
    </row>
    <row r="95" spans="1:16" ht="12.75">
      <c r="A95" s="2"/>
      <c r="C95" s="2"/>
      <c r="D95" s="2"/>
      <c r="E95" s="88">
        <v>3.41</v>
      </c>
      <c r="F95" s="2">
        <v>66.25</v>
      </c>
      <c r="H95" s="38" t="s">
        <v>318</v>
      </c>
      <c r="I95" s="38">
        <f>75.054/0.875</f>
        <v>85.775999999999996</v>
      </c>
      <c r="J95" s="38" t="s">
        <v>319</v>
      </c>
      <c r="K95" s="38">
        <v>47.85</v>
      </c>
      <c r="L95" s="85" t="s">
        <v>319</v>
      </c>
      <c r="M95" s="38">
        <f>90-44.58</f>
        <v>45.42</v>
      </c>
    </row>
    <row r="96" spans="1:16" ht="12.75">
      <c r="A96" s="2">
        <v>66.25</v>
      </c>
      <c r="B96" s="85" t="s">
        <v>320</v>
      </c>
      <c r="C96" s="2">
        <v>3.41</v>
      </c>
      <c r="D96" s="2">
        <v>44.58</v>
      </c>
      <c r="E96" s="88">
        <v>45</v>
      </c>
      <c r="F96" s="2">
        <v>20.16</v>
      </c>
      <c r="H96" s="85" t="s">
        <v>321</v>
      </c>
      <c r="I96" s="60">
        <f>I95*COS(RADIANS(K94))+I94*SIN(RADIANS(K94))</f>
        <v>90.661304270947952</v>
      </c>
      <c r="L96" s="38" t="s">
        <v>1</v>
      </c>
      <c r="M96" s="38">
        <f>(63025*'Tooth Bend &amp; Compression'!H8)/'Tooth Bend &amp; Compression'!H7</f>
        <v>454.28667466986792</v>
      </c>
    </row>
    <row r="97" spans="1:13" ht="12.75">
      <c r="A97" s="2">
        <v>29.16</v>
      </c>
      <c r="B97" s="85" t="s">
        <v>319</v>
      </c>
      <c r="C97" s="2"/>
      <c r="D97" s="2">
        <v>51.73</v>
      </c>
      <c r="E97" s="88"/>
      <c r="F97" s="2"/>
      <c r="H97" s="85" t="s">
        <v>322</v>
      </c>
      <c r="I97" s="60">
        <f>I94*COS(RADIANS(K94))-I95*SIN(RADIANS(K94))</f>
        <v>79.434052394993643</v>
      </c>
      <c r="L97" s="85" t="s">
        <v>323</v>
      </c>
      <c r="M97" s="38">
        <f>340.717</f>
        <v>340.71699999999998</v>
      </c>
    </row>
    <row r="98" spans="1:13" ht="12.75">
      <c r="A98" s="2"/>
      <c r="B98" s="85" t="s">
        <v>323</v>
      </c>
      <c r="C98" s="2">
        <f>C92/C94</f>
        <v>84.685714285714283</v>
      </c>
      <c r="D98" s="2">
        <v>84.685714290000007</v>
      </c>
      <c r="E98" s="2">
        <f t="shared" ref="E98:F98" si="55">E92/E94</f>
        <v>180.8</v>
      </c>
      <c r="F98" s="2">
        <f t="shared" si="55"/>
        <v>258</v>
      </c>
      <c r="H98" s="85" t="s">
        <v>324</v>
      </c>
      <c r="I98" s="38">
        <f>-I95*COS(RADIANS(K95))-I94*SIN(RADIANS(K95))</f>
        <v>-120.34742734869035</v>
      </c>
      <c r="L98" s="85" t="s">
        <v>325</v>
      </c>
      <c r="M98" s="60">
        <f>M97*TAN(RADIANS(20))</f>
        <v>124.01084630847765</v>
      </c>
    </row>
    <row r="99" spans="1:13" ht="12.75">
      <c r="A99" s="2"/>
      <c r="B99" s="85" t="s">
        <v>325</v>
      </c>
      <c r="C99" s="89">
        <f t="shared" ref="C99:F99" si="56">C98*TAN(RADIANS(20))</f>
        <v>30.823079267572105</v>
      </c>
      <c r="D99" s="89">
        <f t="shared" si="56"/>
        <v>30.823079269131981</v>
      </c>
      <c r="E99" s="89">
        <f t="shared" si="56"/>
        <v>65.805818355329393</v>
      </c>
      <c r="F99" s="89">
        <f t="shared" si="56"/>
        <v>93.904320440680209</v>
      </c>
      <c r="G99" s="90"/>
      <c r="H99" s="85" t="s">
        <v>326</v>
      </c>
      <c r="I99" s="60">
        <f>-I94*COS(RADIANS(K95))-I95*SIN(RADIANS(K95))</f>
        <v>-120.42407248766906</v>
      </c>
      <c r="L99" s="85" t="s">
        <v>321</v>
      </c>
      <c r="M99" s="38">
        <f>-M97*SIN(RADIANS(32.86))+M98*COS(RADIANS(32.8))</f>
        <v>-80.629631638331247</v>
      </c>
    </row>
    <row r="100" spans="1:13" ht="12.75">
      <c r="A100" s="2"/>
      <c r="B100" s="85" t="s">
        <v>321</v>
      </c>
      <c r="C100" s="2">
        <f>-C99*COS(RADIANS(C96))+C98*SIN(RADIANS(C96))</f>
        <v>-25.731348867723241</v>
      </c>
      <c r="D100" s="2">
        <f>-D98*SIN(RADIANS(D96))+D99*COS(RADIANS(D96))</f>
        <v>-37.486892502919289</v>
      </c>
      <c r="E100" s="2">
        <f t="shared" ref="E100:F100" si="57">-E99*COS(RADIANS(E96))+E98*SIN(RADIANS(E96))</f>
        <v>81.313165637944195</v>
      </c>
      <c r="F100" s="2">
        <f t="shared" si="57"/>
        <v>0.76670920138013798</v>
      </c>
      <c r="H100" s="85" t="s">
        <v>327</v>
      </c>
      <c r="I100" s="38">
        <f t="shared" ref="I100:I101" si="58">I96+I98</f>
        <v>-29.686123077742394</v>
      </c>
      <c r="L100" s="38" t="s">
        <v>328</v>
      </c>
      <c r="M100" s="38">
        <f>-M97*SIN(RADIANS(44.5))-M98*COS(RADIANS(44.5))</f>
        <v>-327.26249363396414</v>
      </c>
    </row>
    <row r="101" spans="1:13" ht="12.75">
      <c r="A101" s="2"/>
      <c r="B101" s="85" t="s">
        <v>322</v>
      </c>
      <c r="C101" s="2">
        <f>-C99*SIN(RADIANS(C96))-C98*COS(RADIANS(C96))</f>
        <v>-86.36915019301847</v>
      </c>
      <c r="D101" s="2">
        <f>-D98*COS(RADIANS(D96))-D99*SIN(RADIANS(D96))</f>
        <v>-81.954043896035287</v>
      </c>
      <c r="E101" s="2">
        <f t="shared" ref="E101:F101" si="59">-E99*SIN(RADIANS(E96))-E98*COS(RADIANS(E96))</f>
        <v>-174.3766464391114</v>
      </c>
      <c r="F101" s="2">
        <f t="shared" si="59"/>
        <v>-274.5567947700921</v>
      </c>
      <c r="H101" s="85" t="s">
        <v>329</v>
      </c>
      <c r="I101" s="38">
        <f t="shared" si="58"/>
        <v>-40.990020092675422</v>
      </c>
      <c r="L101" s="38" t="s">
        <v>330</v>
      </c>
      <c r="M101" s="38">
        <f>M99+M100</f>
        <v>-407.8921252722954</v>
      </c>
    </row>
    <row r="102" spans="1:13" ht="12.75">
      <c r="A102" s="2"/>
      <c r="B102" s="85" t="s">
        <v>324</v>
      </c>
      <c r="C102" s="2">
        <v>0</v>
      </c>
      <c r="D102" s="2">
        <f>-D98*SIN(RADIANS(D97))-D99*COS(RADIANS(D97))</f>
        <v>-85.57765037570276</v>
      </c>
      <c r="E102" s="2"/>
      <c r="F102" s="2"/>
      <c r="H102" s="85" t="s">
        <v>331</v>
      </c>
      <c r="I102" s="38">
        <f>I103/2</f>
        <v>0.56100000000000005</v>
      </c>
    </row>
    <row r="103" spans="1:13" ht="12.75">
      <c r="A103" s="2"/>
      <c r="B103" s="85" t="s">
        <v>326</v>
      </c>
      <c r="C103" s="2">
        <v>0</v>
      </c>
      <c r="D103" s="2">
        <f>D98*COS(RADIANS(D97))-D99*SIN(RADIANS(D97))</f>
        <v>28.252401253923306</v>
      </c>
      <c r="E103" s="2"/>
      <c r="F103" s="2"/>
      <c r="H103" s="85" t="s">
        <v>332</v>
      </c>
      <c r="I103" s="38">
        <v>1.1220000000000001</v>
      </c>
      <c r="L103" s="85" t="s">
        <v>333</v>
      </c>
      <c r="M103" s="38">
        <f>M97*COS(RADIANS(32.8))+M98*SIN(RADIANS(32.8))</f>
        <v>353.57302505265238</v>
      </c>
    </row>
    <row r="104" spans="1:13" ht="12.75">
      <c r="A104" s="2"/>
      <c r="B104" s="85" t="s">
        <v>327</v>
      </c>
      <c r="C104" s="2"/>
      <c r="D104" s="2">
        <f>D100+D102</f>
        <v>-123.06454287862205</v>
      </c>
      <c r="E104" s="2"/>
      <c r="F104" s="2"/>
      <c r="H104" s="85" t="s">
        <v>334</v>
      </c>
      <c r="I104" s="38">
        <f>(I100*I102)/I103</f>
        <v>-14.843061538871197</v>
      </c>
      <c r="L104" s="38" t="s">
        <v>335</v>
      </c>
      <c r="M104" s="38">
        <f>-M97*SIN(RADIANS(44.5))-M98*COS(RADIANS(44.5))</f>
        <v>-327.26249363396414</v>
      </c>
    </row>
    <row r="105" spans="1:13" ht="12.75">
      <c r="A105" s="2"/>
      <c r="B105" s="85" t="s">
        <v>329</v>
      </c>
      <c r="C105" s="2"/>
      <c r="D105" s="2">
        <f>D103+D100</f>
        <v>-9.2344912489959832</v>
      </c>
      <c r="E105" s="2"/>
      <c r="F105" s="2"/>
      <c r="H105" s="85" t="s">
        <v>336</v>
      </c>
      <c r="I105" s="38">
        <f>I100-I104</f>
        <v>-14.843061538871197</v>
      </c>
      <c r="L105" s="38" t="s">
        <v>337</v>
      </c>
      <c r="M105" s="38">
        <f>M103+M104</f>
        <v>26.310531418688242</v>
      </c>
    </row>
    <row r="106" spans="1:13" ht="12.75">
      <c r="A106" s="2"/>
      <c r="B106" s="85" t="s">
        <v>331</v>
      </c>
      <c r="C106" s="2">
        <f>0.25+0.086+0.1+0.25</f>
        <v>0.68599999999999994</v>
      </c>
      <c r="D106" s="2">
        <v>0.56100000000000005</v>
      </c>
      <c r="E106" s="2">
        <f t="shared" ref="E106:F106" si="60">0.25+0.086+0.1+0.25</f>
        <v>0.68599999999999994</v>
      </c>
      <c r="F106" s="2">
        <f t="shared" si="60"/>
        <v>0.68599999999999994</v>
      </c>
      <c r="H106" s="85" t="s">
        <v>338</v>
      </c>
      <c r="I106" s="38">
        <f>(I101*I102)/I103</f>
        <v>-20.495010046337711</v>
      </c>
    </row>
    <row r="107" spans="1:13" ht="12.75">
      <c r="A107" s="2"/>
      <c r="B107" s="85" t="s">
        <v>332</v>
      </c>
      <c r="C107" s="2">
        <f>0.25+0.086+0.5+0.086+0.25+0.086+2*(0.1)</f>
        <v>1.458</v>
      </c>
      <c r="D107" s="2">
        <v>1.1220000000000001</v>
      </c>
      <c r="E107" s="2">
        <f t="shared" ref="E107:F107" si="61">0.25+0.086+0.5+0.086+0.25+0.086+2*(0.1)</f>
        <v>1.458</v>
      </c>
      <c r="F107" s="2">
        <f t="shared" si="61"/>
        <v>1.458</v>
      </c>
      <c r="H107" s="85" t="s">
        <v>339</v>
      </c>
      <c r="I107" s="38">
        <f>I101-I106</f>
        <v>-20.495010046337711</v>
      </c>
      <c r="L107" s="85" t="s">
        <v>331</v>
      </c>
      <c r="M107" s="2">
        <v>0.56100000000000005</v>
      </c>
    </row>
    <row r="108" spans="1:13" ht="12.75">
      <c r="A108" s="2"/>
      <c r="B108" s="85" t="s">
        <v>334</v>
      </c>
      <c r="C108" s="2">
        <f>C100*C106/C107</f>
        <v>-12.106793774525475</v>
      </c>
      <c r="D108" s="2">
        <f>D104*D106/D107</f>
        <v>-61.532271439311025</v>
      </c>
      <c r="E108" s="2">
        <f t="shared" ref="E108:F108" si="62">E100*E106/E107</f>
        <v>38.258457906467569</v>
      </c>
      <c r="F108" s="2">
        <f t="shared" si="62"/>
        <v>0.36074246374950247</v>
      </c>
      <c r="G108" s="86"/>
      <c r="H108" s="38" t="s">
        <v>340</v>
      </c>
      <c r="I108" s="38">
        <f>50.6107*I102</f>
        <v>28.392602700000005</v>
      </c>
      <c r="L108" s="85" t="s">
        <v>332</v>
      </c>
      <c r="M108" s="2">
        <v>1.1220000000000001</v>
      </c>
    </row>
    <row r="109" spans="1:13" ht="12.75">
      <c r="A109" s="2"/>
      <c r="B109" s="85" t="s">
        <v>336</v>
      </c>
      <c r="C109" s="2">
        <f>C100-C108</f>
        <v>-13.624555093197767</v>
      </c>
      <c r="D109" s="2">
        <f>D104-D108</f>
        <v>-61.532271439311025</v>
      </c>
      <c r="E109" s="2">
        <f t="shared" ref="E109:F109" si="63">E100-E108</f>
        <v>43.054707731476626</v>
      </c>
      <c r="F109" s="2">
        <f t="shared" si="63"/>
        <v>0.40596673763063551</v>
      </c>
      <c r="G109" s="86"/>
      <c r="L109" s="85" t="s">
        <v>334</v>
      </c>
      <c r="M109" s="38">
        <f>(M101*M107)/M108</f>
        <v>-203.9460626361477</v>
      </c>
    </row>
    <row r="110" spans="1:13" ht="12.75">
      <c r="A110" s="2"/>
      <c r="B110" s="85" t="s">
        <v>338</v>
      </c>
      <c r="C110" s="2">
        <f>C101*C106/C107</f>
        <v>-40.637336784918155</v>
      </c>
      <c r="D110" s="2">
        <f>D105*D106/D107</f>
        <v>-4.6172456244979916</v>
      </c>
      <c r="E110" s="2">
        <f t="shared" ref="E110:F110" si="64">E101*E106/E107</f>
        <v>-82.045527748443348</v>
      </c>
      <c r="F110" s="2">
        <f t="shared" si="64"/>
        <v>-129.18104335547542</v>
      </c>
      <c r="G110" s="86"/>
      <c r="L110" s="85" t="s">
        <v>336</v>
      </c>
      <c r="M110" s="38">
        <f>M101-M109</f>
        <v>-203.9460626361477</v>
      </c>
    </row>
    <row r="111" spans="1:13" ht="12.75">
      <c r="A111" s="2"/>
      <c r="B111" s="85" t="s">
        <v>339</v>
      </c>
      <c r="C111" s="2">
        <f>C101-C110</f>
        <v>-45.731813408100315</v>
      </c>
      <c r="D111" s="2">
        <f>D105-D110</f>
        <v>-4.6172456244979916</v>
      </c>
      <c r="E111" s="2">
        <f t="shared" ref="E111:F111" si="65">E101-E110</f>
        <v>-92.331118690668049</v>
      </c>
      <c r="F111" s="2">
        <f t="shared" si="65"/>
        <v>-145.37575141461667</v>
      </c>
      <c r="G111" s="86"/>
      <c r="L111" s="85" t="s">
        <v>338</v>
      </c>
      <c r="M111" s="38">
        <f>(M105*M107)/M108</f>
        <v>13.155265709344121</v>
      </c>
    </row>
    <row r="112" spans="1:13" ht="12.75">
      <c r="A112" s="2"/>
      <c r="B112" s="85" t="s">
        <v>341</v>
      </c>
      <c r="C112" s="2"/>
      <c r="D112" s="2">
        <f>D106*D104</f>
        <v>-69.039208554906978</v>
      </c>
      <c r="E112" s="2" t="e">
        <f>E</f>
        <v>#NAME?</v>
      </c>
      <c r="F112" s="2"/>
      <c r="G112" s="86"/>
      <c r="L112" s="85" t="s">
        <v>339</v>
      </c>
      <c r="M112" s="38">
        <f>M105-M111</f>
        <v>13.155265709344121</v>
      </c>
    </row>
    <row r="113" spans="1:13" ht="12.75">
      <c r="A113" s="2"/>
      <c r="B113" s="38" t="s">
        <v>342</v>
      </c>
      <c r="C113" s="2"/>
      <c r="D113" s="2">
        <f>D106*D105</f>
        <v>-5.1805495906867467</v>
      </c>
      <c r="E113" s="2"/>
      <c r="F113" s="2"/>
      <c r="L113" s="85" t="s">
        <v>343</v>
      </c>
      <c r="M113" s="2">
        <v>0.56100000000000005</v>
      </c>
    </row>
    <row r="114" spans="1:13" ht="12.75">
      <c r="A114" s="2"/>
      <c r="B114" s="38" t="s">
        <v>344</v>
      </c>
      <c r="C114" s="2"/>
      <c r="D114" s="2">
        <v>69.233000000000004</v>
      </c>
      <c r="E114" s="2"/>
      <c r="F114" s="2"/>
      <c r="L114" s="91" t="s">
        <v>345</v>
      </c>
      <c r="M114" s="2">
        <f>ABS(M99)*M113</f>
        <v>45.233223349103831</v>
      </c>
    </row>
  </sheetData>
  <conditionalFormatting sqref="C75:O77">
    <cfRule type="cellIs" dxfId="0" priority="1" operator="lessThanOrEqual">
      <formula>1.15</formula>
    </cfRule>
  </conditionalFormatting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L40"/>
  <sheetViews>
    <sheetView workbookViewId="0"/>
  </sheetViews>
  <sheetFormatPr defaultColWidth="12.5703125" defaultRowHeight="15.75" customHeight="1"/>
  <cols>
    <col min="1" max="1" width="30" customWidth="1"/>
    <col min="2" max="2" width="33.5703125" customWidth="1"/>
    <col min="3" max="3" width="23.28515625" customWidth="1"/>
  </cols>
  <sheetData>
    <row r="1" spans="1:12" ht="15.75" customHeight="1">
      <c r="A1" s="113"/>
      <c r="B1" s="114"/>
      <c r="C1" s="114"/>
      <c r="D1" s="92"/>
      <c r="E1" s="92"/>
      <c r="F1" s="92"/>
      <c r="G1" s="92"/>
      <c r="H1" s="92"/>
      <c r="I1" s="92"/>
      <c r="J1" s="92"/>
      <c r="K1" s="92"/>
      <c r="L1" s="93"/>
    </row>
    <row r="2" spans="1:12" ht="15.75" customHeight="1">
      <c r="A2" s="115" t="s">
        <v>346</v>
      </c>
      <c r="B2" s="116"/>
      <c r="C2" s="51"/>
      <c r="D2" s="51"/>
      <c r="E2" s="51"/>
      <c r="F2" s="51"/>
      <c r="G2" s="51"/>
      <c r="H2" s="51"/>
      <c r="I2" s="51"/>
      <c r="J2" s="51"/>
      <c r="K2" s="51"/>
      <c r="L2" s="94"/>
    </row>
    <row r="3" spans="1:12" ht="15.75" customHeight="1">
      <c r="A3" s="51"/>
      <c r="B3" s="51"/>
      <c r="C3" s="51"/>
      <c r="D3" s="117" t="s">
        <v>347</v>
      </c>
      <c r="E3" s="118"/>
      <c r="F3" s="118"/>
      <c r="G3" s="118"/>
      <c r="H3" s="118"/>
      <c r="I3" s="118"/>
      <c r="J3" s="118"/>
      <c r="K3" s="119"/>
      <c r="L3" s="94"/>
    </row>
    <row r="4" spans="1:12" ht="15.75" customHeight="1">
      <c r="A4" s="95" t="s">
        <v>348</v>
      </c>
      <c r="B4" s="96"/>
      <c r="C4" s="97" t="s">
        <v>349</v>
      </c>
      <c r="D4" s="98" t="s">
        <v>350</v>
      </c>
      <c r="E4" s="98" t="s">
        <v>351</v>
      </c>
      <c r="F4" s="98" t="s">
        <v>352</v>
      </c>
      <c r="G4" s="98" t="s">
        <v>353</v>
      </c>
      <c r="H4" s="98" t="s">
        <v>354</v>
      </c>
      <c r="I4" s="98" t="s">
        <v>355</v>
      </c>
      <c r="J4" s="98" t="s">
        <v>356</v>
      </c>
      <c r="K4" s="98" t="s">
        <v>357</v>
      </c>
      <c r="L4" s="94"/>
    </row>
    <row r="5" spans="1:12">
      <c r="A5" s="99"/>
      <c r="B5" s="51" t="s">
        <v>358</v>
      </c>
      <c r="C5" s="100" t="s">
        <v>359</v>
      </c>
      <c r="D5" s="101"/>
      <c r="E5" s="101"/>
      <c r="F5" s="101"/>
      <c r="G5" s="101"/>
      <c r="H5" s="101"/>
      <c r="I5" s="101"/>
      <c r="J5" s="101"/>
      <c r="K5" s="101">
        <v>100</v>
      </c>
      <c r="L5" s="94"/>
    </row>
    <row r="6" spans="1:12">
      <c r="A6" s="99"/>
      <c r="B6" s="51" t="s">
        <v>360</v>
      </c>
      <c r="C6" s="100" t="s">
        <v>359</v>
      </c>
      <c r="D6" s="101"/>
      <c r="E6" s="101"/>
      <c r="F6" s="101"/>
      <c r="G6" s="101"/>
      <c r="H6" s="101"/>
      <c r="I6" s="101"/>
      <c r="J6" s="101"/>
      <c r="K6" s="101">
        <v>100</v>
      </c>
      <c r="L6" s="94"/>
    </row>
    <row r="7" spans="1:12">
      <c r="A7" s="99"/>
      <c r="B7" s="51" t="s">
        <v>361</v>
      </c>
      <c r="C7" s="100" t="s">
        <v>359</v>
      </c>
      <c r="D7" s="101"/>
      <c r="E7" s="101"/>
      <c r="F7" s="101"/>
      <c r="G7" s="101"/>
      <c r="H7" s="101"/>
      <c r="I7" s="101"/>
      <c r="J7" s="101"/>
      <c r="K7" s="101">
        <v>100</v>
      </c>
      <c r="L7" s="94"/>
    </row>
    <row r="8" spans="1:12">
      <c r="A8" s="99"/>
      <c r="B8" s="51" t="s">
        <v>362</v>
      </c>
      <c r="C8" s="100" t="s">
        <v>359</v>
      </c>
      <c r="D8" s="101"/>
      <c r="E8" s="101"/>
      <c r="F8" s="101"/>
      <c r="G8" s="101"/>
      <c r="H8" s="101"/>
      <c r="I8" s="101"/>
      <c r="J8" s="101"/>
      <c r="K8" s="101">
        <v>100</v>
      </c>
      <c r="L8" s="94"/>
    </row>
    <row r="9" spans="1:12">
      <c r="A9" s="99"/>
      <c r="B9" s="51" t="s">
        <v>363</v>
      </c>
      <c r="C9" s="102" t="s">
        <v>364</v>
      </c>
      <c r="D9" s="101"/>
      <c r="E9" s="101"/>
      <c r="F9" s="101"/>
      <c r="G9" s="101"/>
      <c r="H9" s="101"/>
      <c r="I9" s="101"/>
      <c r="J9" s="101"/>
      <c r="K9" s="101">
        <v>100</v>
      </c>
      <c r="L9" s="94"/>
    </row>
    <row r="10" spans="1:12">
      <c r="A10" s="99"/>
      <c r="B10" s="51" t="s">
        <v>365</v>
      </c>
      <c r="C10" s="102" t="s">
        <v>366</v>
      </c>
      <c r="D10" s="101"/>
      <c r="E10" s="101"/>
      <c r="F10" s="101"/>
      <c r="G10" s="101"/>
      <c r="H10" s="101"/>
      <c r="I10" s="101"/>
      <c r="J10" s="101"/>
      <c r="K10" s="101">
        <v>100</v>
      </c>
      <c r="L10" s="94"/>
    </row>
    <row r="11" spans="1:12">
      <c r="A11" s="103"/>
      <c r="B11" s="104" t="s">
        <v>367</v>
      </c>
      <c r="C11" s="100" t="s">
        <v>359</v>
      </c>
      <c r="D11" s="101"/>
      <c r="E11" s="101"/>
      <c r="F11" s="101"/>
      <c r="G11" s="101"/>
      <c r="H11" s="101"/>
      <c r="I11" s="101"/>
      <c r="J11" s="101"/>
      <c r="K11" s="101">
        <v>100</v>
      </c>
      <c r="L11" s="94"/>
    </row>
    <row r="12" spans="1:12">
      <c r="A12" s="51"/>
      <c r="B12" s="51"/>
      <c r="C12" s="51"/>
      <c r="D12" s="51"/>
      <c r="E12" s="51"/>
      <c r="F12" s="51"/>
      <c r="G12" s="51"/>
      <c r="H12" s="51"/>
      <c r="I12" s="51"/>
      <c r="J12" s="51"/>
      <c r="K12" s="51"/>
      <c r="L12" s="94"/>
    </row>
    <row r="13" spans="1:12" ht="15.75" customHeight="1">
      <c r="A13" s="51"/>
      <c r="B13" s="51"/>
      <c r="C13" s="51"/>
      <c r="D13" s="117" t="s">
        <v>347</v>
      </c>
      <c r="E13" s="118"/>
      <c r="F13" s="118"/>
      <c r="G13" s="118"/>
      <c r="H13" s="118"/>
      <c r="I13" s="118"/>
      <c r="J13" s="118"/>
      <c r="K13" s="119"/>
      <c r="L13" s="94"/>
    </row>
    <row r="14" spans="1:12" ht="15.75" customHeight="1">
      <c r="A14" s="120" t="s">
        <v>368</v>
      </c>
      <c r="B14" s="114"/>
      <c r="C14" s="97" t="s">
        <v>349</v>
      </c>
      <c r="D14" s="98" t="s">
        <v>350</v>
      </c>
      <c r="E14" s="98" t="s">
        <v>351</v>
      </c>
      <c r="F14" s="98" t="s">
        <v>352</v>
      </c>
      <c r="G14" s="98" t="s">
        <v>353</v>
      </c>
      <c r="H14" s="98" t="s">
        <v>354</v>
      </c>
      <c r="I14" s="98" t="s">
        <v>355</v>
      </c>
      <c r="J14" s="98" t="s">
        <v>356</v>
      </c>
      <c r="K14" s="98" t="s">
        <v>357</v>
      </c>
      <c r="L14" s="94"/>
    </row>
    <row r="15" spans="1:12">
      <c r="A15" s="99"/>
      <c r="B15" s="51" t="s">
        <v>369</v>
      </c>
      <c r="C15" s="100" t="s">
        <v>359</v>
      </c>
      <c r="D15" s="105"/>
      <c r="E15" s="105"/>
      <c r="F15" s="105"/>
      <c r="G15" s="105"/>
      <c r="H15" s="105"/>
      <c r="I15" s="105"/>
      <c r="J15" s="106"/>
      <c r="K15" s="107">
        <v>100</v>
      </c>
      <c r="L15" s="94"/>
    </row>
    <row r="16" spans="1:12">
      <c r="A16" s="99"/>
      <c r="B16" s="51" t="s">
        <v>370</v>
      </c>
      <c r="C16" s="100" t="s">
        <v>359</v>
      </c>
      <c r="D16" s="105"/>
      <c r="E16" s="105"/>
      <c r="F16" s="105"/>
      <c r="G16" s="105"/>
      <c r="H16" s="105"/>
      <c r="I16" s="105"/>
      <c r="J16" s="106"/>
      <c r="K16" s="107">
        <v>100</v>
      </c>
      <c r="L16" s="94"/>
    </row>
    <row r="17" spans="1:12">
      <c r="A17" s="99"/>
      <c r="B17" s="51" t="s">
        <v>371</v>
      </c>
      <c r="C17" s="100" t="s">
        <v>201</v>
      </c>
      <c r="D17" s="105"/>
      <c r="E17" s="105"/>
      <c r="F17" s="105"/>
      <c r="G17" s="105"/>
      <c r="H17" s="105"/>
      <c r="I17" s="105"/>
      <c r="J17" s="106"/>
      <c r="K17" s="107">
        <v>100</v>
      </c>
      <c r="L17" s="94"/>
    </row>
    <row r="18" spans="1:12">
      <c r="A18" s="99"/>
      <c r="B18" s="51" t="s">
        <v>372</v>
      </c>
      <c r="C18" s="100" t="s">
        <v>201</v>
      </c>
      <c r="D18" s="105"/>
      <c r="E18" s="105"/>
      <c r="F18" s="105"/>
      <c r="G18" s="105"/>
      <c r="H18" s="105"/>
      <c r="I18" s="105"/>
      <c r="J18" s="106"/>
      <c r="K18" s="107">
        <v>100</v>
      </c>
      <c r="L18" s="94"/>
    </row>
    <row r="19" spans="1:12">
      <c r="A19" s="99"/>
      <c r="B19" s="51" t="s">
        <v>373</v>
      </c>
      <c r="C19" s="100" t="s">
        <v>359</v>
      </c>
      <c r="D19" s="105"/>
      <c r="E19" s="105"/>
      <c r="F19" s="105"/>
      <c r="G19" s="105"/>
      <c r="H19" s="105"/>
      <c r="I19" s="105"/>
      <c r="J19" s="106"/>
      <c r="K19" s="107">
        <v>100</v>
      </c>
      <c r="L19" s="94"/>
    </row>
    <row r="20" spans="1:12">
      <c r="A20" s="103"/>
      <c r="B20" s="104" t="s">
        <v>367</v>
      </c>
      <c r="C20" s="100" t="s">
        <v>359</v>
      </c>
      <c r="D20" s="105"/>
      <c r="E20" s="105"/>
      <c r="F20" s="105"/>
      <c r="G20" s="105"/>
      <c r="H20" s="105"/>
      <c r="I20" s="105"/>
      <c r="J20" s="106"/>
      <c r="K20" s="107">
        <v>100</v>
      </c>
      <c r="L20" s="94"/>
    </row>
    <row r="21" spans="1:12">
      <c r="A21" s="51"/>
      <c r="B21" s="51"/>
      <c r="C21" s="51"/>
      <c r="D21" s="51"/>
      <c r="E21" s="51"/>
      <c r="F21" s="51"/>
      <c r="G21" s="51"/>
      <c r="H21" s="51"/>
      <c r="I21" s="51"/>
      <c r="J21" s="51"/>
      <c r="K21" s="51"/>
      <c r="L21" s="94"/>
    </row>
    <row r="22" spans="1:12" ht="15.75" customHeight="1">
      <c r="A22" s="51"/>
      <c r="B22" s="51"/>
      <c r="C22" s="51"/>
      <c r="D22" s="117" t="s">
        <v>347</v>
      </c>
      <c r="E22" s="118"/>
      <c r="F22" s="118"/>
      <c r="G22" s="118"/>
      <c r="H22" s="118"/>
      <c r="I22" s="118"/>
      <c r="J22" s="118"/>
      <c r="K22" s="119"/>
      <c r="L22" s="94"/>
    </row>
    <row r="23" spans="1:12" ht="15.75" customHeight="1">
      <c r="A23" s="120" t="s">
        <v>374</v>
      </c>
      <c r="B23" s="114"/>
      <c r="C23" s="97" t="s">
        <v>349</v>
      </c>
      <c r="D23" s="98" t="s">
        <v>350</v>
      </c>
      <c r="E23" s="98" t="s">
        <v>351</v>
      </c>
      <c r="F23" s="98" t="s">
        <v>352</v>
      </c>
      <c r="G23" s="98" t="s">
        <v>353</v>
      </c>
      <c r="H23" s="98" t="s">
        <v>354</v>
      </c>
      <c r="I23" s="98" t="s">
        <v>355</v>
      </c>
      <c r="J23" s="98" t="s">
        <v>356</v>
      </c>
      <c r="K23" s="98" t="s">
        <v>357</v>
      </c>
      <c r="L23" s="94"/>
    </row>
    <row r="24" spans="1:12">
      <c r="A24" s="99"/>
      <c r="B24" s="51" t="s">
        <v>375</v>
      </c>
      <c r="C24" s="100" t="s">
        <v>201</v>
      </c>
      <c r="D24" s="105">
        <v>100</v>
      </c>
      <c r="E24" s="105"/>
      <c r="F24" s="105"/>
      <c r="G24" s="105"/>
      <c r="H24" s="105"/>
      <c r="I24" s="105"/>
      <c r="J24" s="105"/>
      <c r="K24" s="105">
        <v>100</v>
      </c>
      <c r="L24" s="94"/>
    </row>
    <row r="25" spans="1:12">
      <c r="A25" s="99"/>
      <c r="B25" s="51" t="s">
        <v>376</v>
      </c>
      <c r="C25" s="100" t="s">
        <v>359</v>
      </c>
      <c r="D25" s="105"/>
      <c r="E25" s="105"/>
      <c r="F25" s="105"/>
      <c r="G25" s="105"/>
      <c r="H25" s="105"/>
      <c r="I25" s="105"/>
      <c r="J25" s="105"/>
      <c r="K25" s="105">
        <v>100</v>
      </c>
      <c r="L25" s="94"/>
    </row>
    <row r="26" spans="1:12">
      <c r="A26" s="99"/>
      <c r="B26" s="51" t="s">
        <v>377</v>
      </c>
      <c r="C26" s="102" t="s">
        <v>359</v>
      </c>
      <c r="D26" s="105"/>
      <c r="E26" s="105"/>
      <c r="F26" s="105"/>
      <c r="G26" s="105"/>
      <c r="H26" s="105"/>
      <c r="I26" s="105"/>
      <c r="J26" s="105"/>
      <c r="K26" s="105">
        <v>100</v>
      </c>
      <c r="L26" s="94"/>
    </row>
    <row r="27" spans="1:12">
      <c r="A27" s="99"/>
      <c r="B27" s="51" t="s">
        <v>378</v>
      </c>
      <c r="C27" s="100" t="s">
        <v>201</v>
      </c>
      <c r="D27" s="105"/>
      <c r="E27" s="105"/>
      <c r="F27" s="105"/>
      <c r="G27" s="105"/>
      <c r="H27" s="105"/>
      <c r="I27" s="105"/>
      <c r="J27" s="105"/>
      <c r="K27" s="105">
        <v>100</v>
      </c>
      <c r="L27" s="94"/>
    </row>
    <row r="28" spans="1:12">
      <c r="A28" s="99"/>
      <c r="B28" s="51" t="s">
        <v>379</v>
      </c>
      <c r="C28" s="100" t="s">
        <v>359</v>
      </c>
      <c r="D28" s="105"/>
      <c r="E28" s="105"/>
      <c r="F28" s="105"/>
      <c r="G28" s="105"/>
      <c r="H28" s="105"/>
      <c r="I28" s="105"/>
      <c r="J28" s="105"/>
      <c r="K28" s="105">
        <v>100</v>
      </c>
      <c r="L28" s="94"/>
    </row>
    <row r="29" spans="1:12">
      <c r="A29" s="103"/>
      <c r="B29" s="104" t="s">
        <v>374</v>
      </c>
      <c r="C29" s="100" t="s">
        <v>359</v>
      </c>
      <c r="D29" s="105"/>
      <c r="E29" s="105"/>
      <c r="F29" s="105"/>
      <c r="G29" s="105"/>
      <c r="H29" s="105"/>
      <c r="I29" s="105"/>
      <c r="J29" s="105"/>
      <c r="K29" s="105">
        <v>100</v>
      </c>
      <c r="L29" s="94"/>
    </row>
    <row r="30" spans="1:12">
      <c r="A30" s="51"/>
      <c r="B30" s="51"/>
      <c r="C30" s="51"/>
      <c r="D30" s="51"/>
      <c r="E30" s="51"/>
      <c r="F30" s="51"/>
      <c r="G30" s="51"/>
      <c r="H30" s="51"/>
      <c r="I30" s="51"/>
      <c r="J30" s="51"/>
      <c r="K30" s="51"/>
      <c r="L30" s="94"/>
    </row>
    <row r="31" spans="1:12" ht="15.75" customHeight="1">
      <c r="A31" s="97" t="s">
        <v>380</v>
      </c>
      <c r="B31" s="93"/>
      <c r="C31" s="108" t="s">
        <v>381</v>
      </c>
      <c r="D31" s="121" t="s">
        <v>382</v>
      </c>
      <c r="E31" s="114"/>
      <c r="F31" s="114"/>
      <c r="G31" s="114"/>
      <c r="H31" s="114"/>
      <c r="I31" s="114"/>
      <c r="J31" s="114"/>
      <c r="K31" s="122"/>
      <c r="L31" s="94"/>
    </row>
    <row r="32" spans="1:12">
      <c r="A32" s="99"/>
      <c r="B32" s="94" t="s">
        <v>383</v>
      </c>
      <c r="C32" s="101"/>
      <c r="D32" s="105">
        <v>5</v>
      </c>
      <c r="E32" s="105">
        <v>5</v>
      </c>
      <c r="F32" s="105">
        <v>5</v>
      </c>
      <c r="G32" s="105">
        <v>5</v>
      </c>
      <c r="H32" s="105">
        <v>5</v>
      </c>
      <c r="I32" s="105">
        <v>5</v>
      </c>
      <c r="J32" s="105">
        <v>5</v>
      </c>
      <c r="K32" s="105">
        <v>5</v>
      </c>
      <c r="L32" s="94"/>
    </row>
    <row r="33" spans="1:12">
      <c r="A33" s="99"/>
      <c r="B33" s="94" t="s">
        <v>384</v>
      </c>
      <c r="C33" s="101"/>
      <c r="D33" s="105">
        <v>5</v>
      </c>
      <c r="E33" s="105">
        <v>5</v>
      </c>
      <c r="F33" s="105">
        <v>5</v>
      </c>
      <c r="G33" s="105">
        <v>5</v>
      </c>
      <c r="H33" s="105">
        <v>5</v>
      </c>
      <c r="I33" s="105">
        <v>5</v>
      </c>
      <c r="J33" s="105">
        <v>5</v>
      </c>
      <c r="K33" s="105">
        <v>5</v>
      </c>
      <c r="L33" s="94"/>
    </row>
    <row r="34" spans="1:12">
      <c r="A34" s="99"/>
      <c r="B34" s="94" t="s">
        <v>385</v>
      </c>
      <c r="C34" s="101"/>
      <c r="D34" s="105">
        <v>5</v>
      </c>
      <c r="E34" s="105">
        <v>5</v>
      </c>
      <c r="F34" s="105">
        <v>5</v>
      </c>
      <c r="G34" s="105">
        <v>5</v>
      </c>
      <c r="H34" s="105">
        <v>5</v>
      </c>
      <c r="I34" s="105">
        <v>5</v>
      </c>
      <c r="J34" s="105">
        <v>5</v>
      </c>
      <c r="K34" s="105">
        <v>5</v>
      </c>
      <c r="L34" s="94"/>
    </row>
    <row r="35" spans="1:12">
      <c r="A35" s="99"/>
      <c r="B35" s="94" t="s">
        <v>386</v>
      </c>
      <c r="C35" s="101"/>
      <c r="D35" s="105">
        <v>5</v>
      </c>
      <c r="E35" s="105">
        <v>5</v>
      </c>
      <c r="F35" s="105">
        <v>5</v>
      </c>
      <c r="G35" s="105">
        <v>5</v>
      </c>
      <c r="H35" s="105">
        <v>5</v>
      </c>
      <c r="I35" s="105">
        <v>5</v>
      </c>
      <c r="J35" s="105">
        <v>5</v>
      </c>
      <c r="K35" s="105">
        <v>5</v>
      </c>
      <c r="L35" s="94"/>
    </row>
    <row r="36" spans="1:12">
      <c r="A36" s="99"/>
      <c r="B36" s="94" t="s">
        <v>387</v>
      </c>
      <c r="C36" s="101"/>
      <c r="D36" s="105">
        <v>5</v>
      </c>
      <c r="E36" s="105">
        <v>5</v>
      </c>
      <c r="F36" s="105">
        <v>5</v>
      </c>
      <c r="G36" s="105">
        <v>5</v>
      </c>
      <c r="H36" s="105">
        <v>5</v>
      </c>
      <c r="I36" s="105">
        <v>5</v>
      </c>
      <c r="J36" s="105">
        <v>5</v>
      </c>
      <c r="K36" s="105">
        <v>5</v>
      </c>
      <c r="L36" s="94"/>
    </row>
    <row r="37" spans="1:12">
      <c r="A37" s="99"/>
      <c r="B37" s="94" t="s">
        <v>388</v>
      </c>
      <c r="C37" s="101"/>
      <c r="D37" s="105">
        <v>5</v>
      </c>
      <c r="E37" s="105">
        <v>5</v>
      </c>
      <c r="F37" s="105">
        <v>5</v>
      </c>
      <c r="G37" s="105">
        <v>5</v>
      </c>
      <c r="H37" s="105">
        <v>5</v>
      </c>
      <c r="I37" s="105">
        <v>5</v>
      </c>
      <c r="J37" s="105">
        <v>5</v>
      </c>
      <c r="K37" s="105">
        <v>5</v>
      </c>
      <c r="L37" s="94"/>
    </row>
    <row r="38" spans="1:12">
      <c r="A38" s="99"/>
      <c r="B38" s="94" t="s">
        <v>389</v>
      </c>
      <c r="C38" s="101"/>
      <c r="D38" s="105">
        <v>5</v>
      </c>
      <c r="E38" s="105">
        <v>5</v>
      </c>
      <c r="F38" s="105">
        <v>5</v>
      </c>
      <c r="G38" s="105">
        <v>5</v>
      </c>
      <c r="H38" s="105">
        <v>5</v>
      </c>
      <c r="I38" s="105">
        <v>5</v>
      </c>
      <c r="J38" s="105">
        <v>5</v>
      </c>
      <c r="K38" s="105">
        <v>5</v>
      </c>
      <c r="L38" s="94"/>
    </row>
    <row r="39" spans="1:12" ht="12.75">
      <c r="A39" s="103"/>
      <c r="B39" s="101" t="s">
        <v>390</v>
      </c>
      <c r="C39" s="101"/>
      <c r="D39" s="105">
        <v>5</v>
      </c>
      <c r="E39" s="105">
        <v>5</v>
      </c>
      <c r="F39" s="105">
        <v>5</v>
      </c>
      <c r="G39" s="105">
        <v>5</v>
      </c>
      <c r="H39" s="105">
        <v>5</v>
      </c>
      <c r="I39" s="105">
        <v>5</v>
      </c>
      <c r="J39" s="105">
        <v>5</v>
      </c>
      <c r="K39" s="105">
        <v>5</v>
      </c>
      <c r="L39" s="94"/>
    </row>
    <row r="40" spans="1:12" ht="12.75">
      <c r="A40" s="104"/>
      <c r="B40" s="104"/>
      <c r="C40" s="104"/>
      <c r="D40" s="104"/>
      <c r="E40" s="104"/>
      <c r="F40" s="104"/>
      <c r="G40" s="104"/>
      <c r="H40" s="104"/>
      <c r="I40" s="104"/>
      <c r="J40" s="104"/>
      <c r="K40" s="104"/>
      <c r="L40" s="101"/>
    </row>
  </sheetData>
  <mergeCells count="8">
    <mergeCell ref="D22:K22"/>
    <mergeCell ref="A23:B23"/>
    <mergeCell ref="D31:K31"/>
    <mergeCell ref="A1:C1"/>
    <mergeCell ref="A2:B2"/>
    <mergeCell ref="D3:K3"/>
    <mergeCell ref="D13:K13"/>
    <mergeCell ref="A14:B14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Basic Info</vt:lpstr>
      <vt:lpstr>Sheet13</vt:lpstr>
      <vt:lpstr>Accessory Info</vt:lpstr>
      <vt:lpstr>Tables</vt:lpstr>
      <vt:lpstr>AGMA BendPit</vt:lpstr>
      <vt:lpstr>Tooth Bend &amp; Compression</vt:lpstr>
      <vt:lpstr>Shafts</vt:lpstr>
      <vt:lpstr>Stress concentrations shaft</vt:lpstr>
      <vt:lpstr>Team Reporting</vt:lpstr>
      <vt:lpstr>for track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sean hedgecock</dc:creator>
  <cp:lastModifiedBy>sean hedgecock</cp:lastModifiedBy>
  <dcterms:created xsi:type="dcterms:W3CDTF">2024-04-26T03:55:11Z</dcterms:created>
  <dcterms:modified xsi:type="dcterms:W3CDTF">2024-04-26T03:55:12Z</dcterms:modified>
</cp:coreProperties>
</file>